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Biometrics Unit\Angling\Data Stats\"/>
    </mc:Choice>
  </mc:AlternateContent>
  <xr:revisionPtr revIDLastSave="0" documentId="8_{A5EC8C63-41AF-42A0-B788-842DE419EE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mpiled Angling Sales Report" sheetId="1" r:id="rId1"/>
    <sheet name="Angling Licence Sales Revenue" sheetId="5" state="hidden" r:id="rId2"/>
    <sheet name="Graphs" sheetId="4" r:id="rId3"/>
    <sheet name="Data Notes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5" i="4" l="1"/>
  <c r="R111" i="1"/>
  <c r="Q10" i="4" s="1"/>
  <c r="R102" i="1"/>
  <c r="Q9" i="4" s="1"/>
  <c r="R27" i="1"/>
  <c r="Q8" i="4" s="1"/>
  <c r="R21" i="1"/>
  <c r="Q6" i="4" s="1"/>
  <c r="R11" i="1"/>
  <c r="P12" i="4"/>
  <c r="P11" i="4"/>
  <c r="P10" i="4"/>
  <c r="P9" i="4"/>
  <c r="P8" i="4"/>
  <c r="P7" i="4"/>
  <c r="P6" i="4"/>
  <c r="P5" i="4"/>
  <c r="P4" i="4"/>
  <c r="O12" i="4"/>
  <c r="O11" i="4"/>
  <c r="O10" i="4"/>
  <c r="O9" i="4"/>
  <c r="O7" i="4"/>
  <c r="O8" i="4"/>
  <c r="O6" i="4"/>
  <c r="O5" i="4"/>
  <c r="O4" i="4"/>
  <c r="Q22" i="1"/>
  <c r="Q112" i="5"/>
  <c r="Q111" i="5"/>
  <c r="Q110" i="5"/>
  <c r="Q109" i="5"/>
  <c r="Q108" i="5"/>
  <c r="Q107" i="5"/>
  <c r="Q106" i="5"/>
  <c r="Q105" i="5"/>
  <c r="Q103" i="5"/>
  <c r="Q101" i="5"/>
  <c r="Q100" i="5"/>
  <c r="Q99" i="5"/>
  <c r="Q97" i="5"/>
  <c r="Q96" i="5"/>
  <c r="Q95" i="5"/>
  <c r="Q94" i="5"/>
  <c r="Q91" i="5"/>
  <c r="Q90" i="5"/>
  <c r="Q88" i="5"/>
  <c r="Q87" i="5"/>
  <c r="Q86" i="5"/>
  <c r="Q85" i="5"/>
  <c r="Q84" i="5"/>
  <c r="Q83" i="5"/>
  <c r="Q82" i="5"/>
  <c r="Q81" i="5"/>
  <c r="Q80" i="5"/>
  <c r="Q79" i="5"/>
  <c r="Q77" i="5"/>
  <c r="Q76" i="5"/>
  <c r="Q75" i="5"/>
  <c r="Q74" i="5"/>
  <c r="Q73" i="5"/>
  <c r="Q72" i="5"/>
  <c r="Q71" i="5"/>
  <c r="Q69" i="5"/>
  <c r="Q68" i="5"/>
  <c r="Q66" i="5"/>
  <c r="Q64" i="5"/>
  <c r="Q63" i="5"/>
  <c r="Q62" i="5"/>
  <c r="Q61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0" i="5"/>
  <c r="Q39" i="5"/>
  <c r="Q38" i="5"/>
  <c r="Q37" i="5"/>
  <c r="Q36" i="5"/>
  <c r="Q35" i="5"/>
  <c r="Q33" i="5"/>
  <c r="Q32" i="5"/>
  <c r="Q31" i="5"/>
  <c r="Q30" i="5"/>
  <c r="Q28" i="5"/>
  <c r="Q26" i="5"/>
  <c r="Q25" i="5"/>
  <c r="Q24" i="5"/>
  <c r="Q23" i="5"/>
  <c r="P113" i="5"/>
  <c r="P112" i="5"/>
  <c r="P111" i="5"/>
  <c r="P110" i="5"/>
  <c r="P109" i="5"/>
  <c r="P108" i="5"/>
  <c r="P107" i="5"/>
  <c r="P106" i="5"/>
  <c r="P105" i="5"/>
  <c r="P103" i="5"/>
  <c r="P101" i="5"/>
  <c r="P100" i="5"/>
  <c r="P99" i="5"/>
  <c r="P97" i="5"/>
  <c r="P96" i="5"/>
  <c r="P95" i="5"/>
  <c r="P94" i="5"/>
  <c r="P92" i="5"/>
  <c r="P91" i="5"/>
  <c r="P90" i="5"/>
  <c r="P88" i="5"/>
  <c r="P87" i="5"/>
  <c r="P86" i="5"/>
  <c r="P85" i="5"/>
  <c r="P84" i="5"/>
  <c r="P83" i="5"/>
  <c r="P82" i="5"/>
  <c r="P81" i="5"/>
  <c r="P80" i="5"/>
  <c r="P79" i="5"/>
  <c r="P78" i="5"/>
  <c r="P77" i="5"/>
  <c r="P76" i="5"/>
  <c r="P75" i="5"/>
  <c r="P74" i="5"/>
  <c r="P73" i="5"/>
  <c r="P72" i="5"/>
  <c r="P71" i="5"/>
  <c r="P70" i="5"/>
  <c r="P69" i="5"/>
  <c r="P68" i="5"/>
  <c r="P66" i="5"/>
  <c r="P64" i="5"/>
  <c r="P63" i="5"/>
  <c r="P62" i="5"/>
  <c r="P60" i="5"/>
  <c r="P57" i="5"/>
  <c r="P56" i="5"/>
  <c r="P54" i="5"/>
  <c r="P53" i="5"/>
  <c r="P52" i="5"/>
  <c r="P51" i="5"/>
  <c r="P50" i="5"/>
  <c r="P49" i="5"/>
  <c r="P48" i="5"/>
  <c r="P46" i="5"/>
  <c r="P45" i="5"/>
  <c r="P44" i="5"/>
  <c r="P43" i="5"/>
  <c r="P42" i="5"/>
  <c r="P40" i="5"/>
  <c r="P39" i="5"/>
  <c r="P38" i="5"/>
  <c r="P37" i="5"/>
  <c r="P36" i="5"/>
  <c r="P35" i="5"/>
  <c r="P33" i="5"/>
  <c r="P32" i="5"/>
  <c r="P31" i="5"/>
  <c r="P30" i="5"/>
  <c r="P28" i="5"/>
  <c r="P26" i="5"/>
  <c r="P25" i="5"/>
  <c r="P24" i="5"/>
  <c r="P23" i="5"/>
  <c r="O112" i="5"/>
  <c r="O111" i="5"/>
  <c r="O110" i="5"/>
  <c r="O109" i="5"/>
  <c r="O108" i="5"/>
  <c r="O107" i="5"/>
  <c r="O106" i="5"/>
  <c r="O105" i="5"/>
  <c r="O103" i="5"/>
  <c r="O101" i="5"/>
  <c r="O100" i="5"/>
  <c r="O99" i="5"/>
  <c r="O97" i="5"/>
  <c r="O96" i="5"/>
  <c r="O95" i="5"/>
  <c r="O94" i="5"/>
  <c r="O91" i="5"/>
  <c r="O90" i="5"/>
  <c r="O88" i="5"/>
  <c r="O87" i="5"/>
  <c r="O86" i="5"/>
  <c r="O85" i="5"/>
  <c r="O84" i="5"/>
  <c r="O83" i="5"/>
  <c r="O82" i="5"/>
  <c r="O81" i="5"/>
  <c r="O80" i="5"/>
  <c r="O77" i="5"/>
  <c r="O76" i="5"/>
  <c r="O75" i="5"/>
  <c r="O74" i="5"/>
  <c r="O73" i="5"/>
  <c r="O69" i="5"/>
  <c r="O68" i="5"/>
  <c r="O64" i="5"/>
  <c r="O63" i="5"/>
  <c r="O62" i="5"/>
  <c r="O61" i="5"/>
  <c r="O60" i="5"/>
  <c r="O57" i="5"/>
  <c r="O56" i="5"/>
  <c r="O54" i="5"/>
  <c r="O52" i="5"/>
  <c r="O51" i="5"/>
  <c r="O50" i="5"/>
  <c r="O49" i="5"/>
  <c r="O48" i="5"/>
  <c r="O47" i="5"/>
  <c r="O46" i="5"/>
  <c r="O44" i="5"/>
  <c r="O43" i="5"/>
  <c r="O42" i="5"/>
  <c r="O41" i="5"/>
  <c r="O40" i="5"/>
  <c r="O39" i="5"/>
  <c r="O37" i="5"/>
  <c r="O36" i="5"/>
  <c r="O35" i="5"/>
  <c r="O34" i="5"/>
  <c r="O32" i="5"/>
  <c r="O31" i="5"/>
  <c r="O30" i="5"/>
  <c r="O28" i="5"/>
  <c r="O26" i="5"/>
  <c r="O25" i="5"/>
  <c r="O24" i="5"/>
  <c r="O23" i="5"/>
  <c r="N29" i="5"/>
  <c r="N112" i="5"/>
  <c r="N111" i="5"/>
  <c r="N110" i="5"/>
  <c r="N109" i="5"/>
  <c r="N108" i="5"/>
  <c r="N107" i="5"/>
  <c r="N106" i="5"/>
  <c r="N105" i="5"/>
  <c r="N103" i="5"/>
  <c r="N102" i="5"/>
  <c r="N101" i="5"/>
  <c r="N100" i="5"/>
  <c r="N99" i="5"/>
  <c r="N97" i="5"/>
  <c r="N96" i="5"/>
  <c r="N95" i="5"/>
  <c r="N92" i="5"/>
  <c r="N91" i="5"/>
  <c r="N90" i="5"/>
  <c r="N87" i="5"/>
  <c r="N86" i="5"/>
  <c r="N85" i="5"/>
  <c r="N84" i="5"/>
  <c r="N83" i="5"/>
  <c r="N82" i="5"/>
  <c r="N77" i="5"/>
  <c r="N76" i="5"/>
  <c r="N75" i="5"/>
  <c r="N74" i="5"/>
  <c r="N71" i="5"/>
  <c r="N69" i="5"/>
  <c r="N68" i="5"/>
  <c r="N66" i="5"/>
  <c r="N63" i="5"/>
  <c r="N62" i="5"/>
  <c r="N61" i="5"/>
  <c r="N60" i="5"/>
  <c r="N57" i="5"/>
  <c r="N56" i="5"/>
  <c r="N54" i="5"/>
  <c r="N52" i="5"/>
  <c r="N51" i="5"/>
  <c r="N49" i="5"/>
  <c r="N48" i="5"/>
  <c r="N47" i="5"/>
  <c r="N44" i="5"/>
  <c r="N42" i="5"/>
  <c r="N39" i="5"/>
  <c r="N37" i="5"/>
  <c r="N36" i="5"/>
  <c r="N35" i="5"/>
  <c r="N32" i="5"/>
  <c r="N31" i="5"/>
  <c r="N28" i="5"/>
  <c r="N26" i="5"/>
  <c r="N25" i="5"/>
  <c r="N24" i="5"/>
  <c r="N23" i="5"/>
  <c r="M112" i="5"/>
  <c r="M111" i="5"/>
  <c r="M110" i="5"/>
  <c r="M109" i="5"/>
  <c r="M108" i="5"/>
  <c r="M107" i="5"/>
  <c r="M106" i="5"/>
  <c r="M105" i="5"/>
  <c r="M103" i="5"/>
  <c r="M102" i="5"/>
  <c r="M101" i="5"/>
  <c r="M100" i="5"/>
  <c r="M99" i="5"/>
  <c r="M98" i="5"/>
  <c r="M97" i="5"/>
  <c r="M96" i="5"/>
  <c r="M95" i="5"/>
  <c r="M94" i="5"/>
  <c r="M93" i="5"/>
  <c r="M91" i="5"/>
  <c r="M90" i="5"/>
  <c r="M88" i="5"/>
  <c r="M87" i="5"/>
  <c r="M86" i="5"/>
  <c r="M85" i="5"/>
  <c r="M84" i="5"/>
  <c r="M83" i="5"/>
  <c r="M82" i="5"/>
  <c r="M81" i="5"/>
  <c r="M80" i="5"/>
  <c r="M79" i="5"/>
  <c r="M77" i="5"/>
  <c r="M76" i="5"/>
  <c r="M75" i="5"/>
  <c r="M74" i="5"/>
  <c r="M73" i="5"/>
  <c r="M71" i="5"/>
  <c r="M69" i="5"/>
  <c r="M68" i="5"/>
  <c r="M67" i="5"/>
  <c r="M66" i="5"/>
  <c r="M65" i="5"/>
  <c r="M64" i="5"/>
  <c r="M63" i="5"/>
  <c r="M62" i="5"/>
  <c r="M61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4" i="5"/>
  <c r="M43" i="5"/>
  <c r="M42" i="5"/>
  <c r="M41" i="5"/>
  <c r="M39" i="5"/>
  <c r="M38" i="5"/>
  <c r="M37" i="5"/>
  <c r="M36" i="5"/>
  <c r="M35" i="5"/>
  <c r="M32" i="5"/>
  <c r="M31" i="5"/>
  <c r="M30" i="5"/>
  <c r="M28" i="5"/>
  <c r="M26" i="5"/>
  <c r="M25" i="5"/>
  <c r="M24" i="5"/>
  <c r="M23" i="5"/>
  <c r="L112" i="5"/>
  <c r="L111" i="5"/>
  <c r="L110" i="5"/>
  <c r="L109" i="5"/>
  <c r="L108" i="5"/>
  <c r="L107" i="5"/>
  <c r="L106" i="5"/>
  <c r="L105" i="5"/>
  <c r="L103" i="5"/>
  <c r="L102" i="5"/>
  <c r="L101" i="5"/>
  <c r="L100" i="5"/>
  <c r="L99" i="5"/>
  <c r="L98" i="5"/>
  <c r="L97" i="5"/>
  <c r="L96" i="5"/>
  <c r="L95" i="5"/>
  <c r="L94" i="5"/>
  <c r="L93" i="5"/>
  <c r="L91" i="5"/>
  <c r="L90" i="5"/>
  <c r="L88" i="5"/>
  <c r="L87" i="5"/>
  <c r="L86" i="5"/>
  <c r="L85" i="5"/>
  <c r="L84" i="5"/>
  <c r="L83" i="5"/>
  <c r="L82" i="5"/>
  <c r="L81" i="5"/>
  <c r="L80" i="5"/>
  <c r="L79" i="5"/>
  <c r="L77" i="5"/>
  <c r="L76" i="5"/>
  <c r="L75" i="5"/>
  <c r="L74" i="5"/>
  <c r="L73" i="5"/>
  <c r="L71" i="5"/>
  <c r="L69" i="5"/>
  <c r="L68" i="5"/>
  <c r="L66" i="5"/>
  <c r="L65" i="5"/>
  <c r="L63" i="5"/>
  <c r="L62" i="5"/>
  <c r="L61" i="5"/>
  <c r="L60" i="5"/>
  <c r="L57" i="5"/>
  <c r="L56" i="5"/>
  <c r="L54" i="5"/>
  <c r="L53" i="5"/>
  <c r="L52" i="5"/>
  <c r="L51" i="5"/>
  <c r="L50" i="5"/>
  <c r="L49" i="5"/>
  <c r="L48" i="5"/>
  <c r="L46" i="5"/>
  <c r="L44" i="5"/>
  <c r="L43" i="5"/>
  <c r="L42" i="5"/>
  <c r="L41" i="5"/>
  <c r="L39" i="5"/>
  <c r="L38" i="5"/>
  <c r="L37" i="5"/>
  <c r="L36" i="5"/>
  <c r="L35" i="5"/>
  <c r="L32" i="5"/>
  <c r="L31" i="5"/>
  <c r="L30" i="5"/>
  <c r="L28" i="5"/>
  <c r="L26" i="5"/>
  <c r="L25" i="5"/>
  <c r="L24" i="5"/>
  <c r="L23" i="5"/>
  <c r="K112" i="5"/>
  <c r="K111" i="5"/>
  <c r="K110" i="5"/>
  <c r="K109" i="5"/>
  <c r="K108" i="5"/>
  <c r="K107" i="5"/>
  <c r="K106" i="5"/>
  <c r="K105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7" i="5"/>
  <c r="K76" i="5"/>
  <c r="K75" i="5"/>
  <c r="K74" i="5"/>
  <c r="K73" i="5"/>
  <c r="K71" i="5"/>
  <c r="K70" i="5"/>
  <c r="K69" i="5"/>
  <c r="K68" i="5"/>
  <c r="K66" i="5"/>
  <c r="K65" i="5"/>
  <c r="K64" i="5"/>
  <c r="K63" i="5"/>
  <c r="K62" i="5"/>
  <c r="K61" i="5"/>
  <c r="K60" i="5"/>
  <c r="K57" i="5"/>
  <c r="K56" i="5"/>
  <c r="K54" i="5"/>
  <c r="K53" i="5"/>
  <c r="K52" i="5"/>
  <c r="K51" i="5"/>
  <c r="K50" i="5"/>
  <c r="K49" i="5"/>
  <c r="K48" i="5"/>
  <c r="K47" i="5"/>
  <c r="K46" i="5"/>
  <c r="K44" i="5"/>
  <c r="K43" i="5"/>
  <c r="K42" i="5"/>
  <c r="K41" i="5"/>
  <c r="K39" i="5"/>
  <c r="K38" i="5"/>
  <c r="K37" i="5"/>
  <c r="K36" i="5"/>
  <c r="K35" i="5"/>
  <c r="K32" i="5"/>
  <c r="K31" i="5"/>
  <c r="K30" i="5"/>
  <c r="K28" i="5"/>
  <c r="K26" i="5"/>
  <c r="K25" i="5"/>
  <c r="K24" i="5"/>
  <c r="K23" i="5"/>
  <c r="P12" i="5"/>
  <c r="R112" i="1" l="1"/>
  <c r="Q11" i="4" s="1"/>
  <c r="R22" i="1"/>
  <c r="Q4" i="4"/>
  <c r="P20" i="5"/>
  <c r="P19" i="5"/>
  <c r="P18" i="5"/>
  <c r="P17" i="5"/>
  <c r="P16" i="5"/>
  <c r="P15" i="5"/>
  <c r="P14" i="5"/>
  <c r="P13" i="5"/>
  <c r="P10" i="5"/>
  <c r="P8" i="5"/>
  <c r="P7" i="5"/>
  <c r="P6" i="5"/>
  <c r="P5" i="5"/>
  <c r="P4" i="5"/>
  <c r="Q20" i="5"/>
  <c r="O20" i="5"/>
  <c r="N20" i="5"/>
  <c r="M20" i="5"/>
  <c r="L20" i="5"/>
  <c r="K20" i="5"/>
  <c r="Q19" i="5"/>
  <c r="O19" i="5"/>
  <c r="N19" i="5"/>
  <c r="M19" i="5"/>
  <c r="L19" i="5"/>
  <c r="K19" i="5"/>
  <c r="Q18" i="5"/>
  <c r="O18" i="5"/>
  <c r="N18" i="5"/>
  <c r="M18" i="5"/>
  <c r="L18" i="5"/>
  <c r="K18" i="5"/>
  <c r="Q17" i="5"/>
  <c r="O17" i="5"/>
  <c r="N17" i="5"/>
  <c r="M17" i="5"/>
  <c r="L17" i="5"/>
  <c r="K17" i="5"/>
  <c r="Q16" i="5"/>
  <c r="O16" i="5"/>
  <c r="N16" i="5"/>
  <c r="M16" i="5"/>
  <c r="L16" i="5"/>
  <c r="K16" i="5"/>
  <c r="Q15" i="5"/>
  <c r="O15" i="5"/>
  <c r="N15" i="5"/>
  <c r="M15" i="5"/>
  <c r="L15" i="5"/>
  <c r="K15" i="5"/>
  <c r="Q14" i="5"/>
  <c r="O14" i="5"/>
  <c r="N14" i="5"/>
  <c r="M14" i="5"/>
  <c r="L14" i="5"/>
  <c r="K14" i="5"/>
  <c r="Q13" i="5"/>
  <c r="O13" i="5"/>
  <c r="N13" i="5"/>
  <c r="M13" i="5"/>
  <c r="L13" i="5"/>
  <c r="K13" i="5"/>
  <c r="Q12" i="5"/>
  <c r="O12" i="5"/>
  <c r="N12" i="5"/>
  <c r="M12" i="5"/>
  <c r="L12" i="5"/>
  <c r="K12" i="5"/>
  <c r="Q10" i="5"/>
  <c r="O10" i="5"/>
  <c r="N10" i="5"/>
  <c r="M10" i="5"/>
  <c r="L10" i="5"/>
  <c r="K10" i="5"/>
  <c r="Q8" i="5"/>
  <c r="O8" i="5"/>
  <c r="N8" i="5"/>
  <c r="M8" i="5"/>
  <c r="L8" i="5"/>
  <c r="K8" i="5"/>
  <c r="Q7" i="5"/>
  <c r="K7" i="5"/>
  <c r="Q6" i="5"/>
  <c r="O6" i="5"/>
  <c r="Q5" i="5"/>
  <c r="O5" i="5"/>
  <c r="N5" i="5"/>
  <c r="M5" i="5"/>
  <c r="L5" i="5"/>
  <c r="K5" i="5"/>
  <c r="Q4" i="5"/>
  <c r="O4" i="5"/>
  <c r="N4" i="5"/>
  <c r="M4" i="5"/>
  <c r="L4" i="5"/>
  <c r="K4" i="5"/>
  <c r="Q113" i="5"/>
  <c r="O113" i="5"/>
  <c r="N113" i="5"/>
  <c r="M113" i="5"/>
  <c r="L113" i="5"/>
  <c r="K113" i="5"/>
  <c r="J113" i="5"/>
  <c r="I113" i="5"/>
  <c r="H113" i="5"/>
  <c r="G113" i="5"/>
  <c r="F113" i="5"/>
  <c r="E113" i="5"/>
  <c r="D113" i="5"/>
  <c r="Q104" i="5"/>
  <c r="P104" i="5"/>
  <c r="O104" i="5"/>
  <c r="N104" i="5"/>
  <c r="M104" i="5"/>
  <c r="L104" i="5"/>
  <c r="K104" i="5"/>
  <c r="J104" i="5"/>
  <c r="I104" i="5"/>
  <c r="H104" i="5"/>
  <c r="G104" i="5"/>
  <c r="F104" i="5"/>
  <c r="E104" i="5"/>
  <c r="D104" i="5"/>
  <c r="Q29" i="5"/>
  <c r="P29" i="5"/>
  <c r="O29" i="5"/>
  <c r="M29" i="5"/>
  <c r="L29" i="5"/>
  <c r="K29" i="5"/>
  <c r="J29" i="5"/>
  <c r="I29" i="5"/>
  <c r="H29" i="5"/>
  <c r="G29" i="5"/>
  <c r="F29" i="5"/>
  <c r="E29" i="5"/>
  <c r="D29" i="5"/>
  <c r="J21" i="5"/>
  <c r="I21" i="5"/>
  <c r="H21" i="5"/>
  <c r="G21" i="5"/>
  <c r="F21" i="5"/>
  <c r="E21" i="5"/>
  <c r="D21" i="5"/>
  <c r="J11" i="5"/>
  <c r="I11" i="5"/>
  <c r="H11" i="5"/>
  <c r="G11" i="5"/>
  <c r="F11" i="5"/>
  <c r="E11" i="5"/>
  <c r="D11" i="5"/>
  <c r="R113" i="1" l="1"/>
  <c r="Q12" i="4" s="1"/>
  <c r="Q7" i="4"/>
  <c r="F22" i="5"/>
  <c r="E22" i="5"/>
  <c r="L11" i="5"/>
  <c r="Q11" i="5"/>
  <c r="K11" i="5"/>
  <c r="N11" i="5"/>
  <c r="G22" i="5"/>
  <c r="E114" i="5"/>
  <c r="E115" i="5" s="1"/>
  <c r="Q114" i="5"/>
  <c r="O11" i="5"/>
  <c r="I114" i="5"/>
  <c r="I22" i="5"/>
  <c r="N114" i="5"/>
  <c r="N115" i="5" s="1"/>
  <c r="J114" i="5"/>
  <c r="F114" i="5"/>
  <c r="F115" i="5" s="1"/>
  <c r="H22" i="5"/>
  <c r="G114" i="5"/>
  <c r="H114" i="5"/>
  <c r="J22" i="5"/>
  <c r="K114" i="5"/>
  <c r="P114" i="5"/>
  <c r="L114" i="5"/>
  <c r="D114" i="5"/>
  <c r="M114" i="5"/>
  <c r="D22" i="5"/>
  <c r="O114" i="5"/>
  <c r="M11" i="5"/>
  <c r="K21" i="5"/>
  <c r="Q21" i="5"/>
  <c r="Q22" i="5" s="1"/>
  <c r="N21" i="5"/>
  <c r="N22" i="5" s="1"/>
  <c r="M21" i="5"/>
  <c r="L21" i="5"/>
  <c r="O21" i="5"/>
  <c r="P21" i="5"/>
  <c r="P11" i="5"/>
  <c r="P111" i="1"/>
  <c r="Q111" i="1"/>
  <c r="P102" i="1"/>
  <c r="Q102" i="1"/>
  <c r="P27" i="1"/>
  <c r="Q27" i="1"/>
  <c r="P21" i="1"/>
  <c r="Q21" i="1"/>
  <c r="P11" i="1"/>
  <c r="Q11" i="1"/>
  <c r="N5" i="4"/>
  <c r="O111" i="1"/>
  <c r="N10" i="4" s="1"/>
  <c r="O102" i="1"/>
  <c r="N9" i="4" s="1"/>
  <c r="O27" i="1"/>
  <c r="N8" i="4" s="1"/>
  <c r="O21" i="1"/>
  <c r="N6" i="4" s="1"/>
  <c r="O11" i="1"/>
  <c r="N4" i="4" s="1"/>
  <c r="M5" i="4"/>
  <c r="K22" i="5" l="1"/>
  <c r="K115" i="5" s="1"/>
  <c r="L22" i="5"/>
  <c r="L115" i="5" s="1"/>
  <c r="G115" i="5"/>
  <c r="Q115" i="5"/>
  <c r="O22" i="5"/>
  <c r="O115" i="5" s="1"/>
  <c r="M22" i="5"/>
  <c r="H115" i="5"/>
  <c r="I115" i="5"/>
  <c r="D115" i="5"/>
  <c r="M115" i="5"/>
  <c r="J115" i="5"/>
  <c r="P22" i="5"/>
  <c r="P115" i="5" s="1"/>
  <c r="P22" i="1"/>
  <c r="Q112" i="1"/>
  <c r="P112" i="1"/>
  <c r="P113" i="1" s="1"/>
  <c r="O112" i="1"/>
  <c r="N11" i="4" s="1"/>
  <c r="O22" i="1"/>
  <c r="N7" i="4" s="1"/>
  <c r="N111" i="1"/>
  <c r="N102" i="1"/>
  <c r="M9" i="4" s="1"/>
  <c r="N27" i="1"/>
  <c r="M8" i="4" s="1"/>
  <c r="N21" i="1"/>
  <c r="M6" i="4" s="1"/>
  <c r="N11" i="1"/>
  <c r="Q113" i="1" l="1"/>
  <c r="O113" i="1"/>
  <c r="N12" i="4" s="1"/>
  <c r="N22" i="1"/>
  <c r="M7" i="4" s="1"/>
  <c r="M4" i="4"/>
  <c r="N112" i="1"/>
  <c r="M11" i="4" s="1"/>
  <c r="M10" i="4"/>
  <c r="L21" i="1"/>
  <c r="I21" i="1"/>
  <c r="D21" i="1"/>
  <c r="N113" i="1" l="1"/>
  <c r="M12" i="4" s="1"/>
  <c r="E111" i="1"/>
  <c r="F111" i="1"/>
  <c r="G111" i="1"/>
  <c r="F10" i="4" s="1"/>
  <c r="H111" i="1"/>
  <c r="I111" i="1"/>
  <c r="J111" i="1"/>
  <c r="K111" i="1"/>
  <c r="J10" i="4" s="1"/>
  <c r="L111" i="1"/>
  <c r="K10" i="4" s="1"/>
  <c r="M111" i="1"/>
  <c r="L10" i="4" s="1"/>
  <c r="D111" i="1"/>
  <c r="C10" i="4" s="1"/>
  <c r="E102" i="1"/>
  <c r="D9" i="4" s="1"/>
  <c r="F102" i="1"/>
  <c r="E9" i="4" s="1"/>
  <c r="G102" i="1"/>
  <c r="H102" i="1"/>
  <c r="G9" i="4" s="1"/>
  <c r="I102" i="1"/>
  <c r="H9" i="4" s="1"/>
  <c r="J102" i="1"/>
  <c r="I9" i="4" s="1"/>
  <c r="K102" i="1"/>
  <c r="L102" i="1"/>
  <c r="K9" i="4" s="1"/>
  <c r="M102" i="1"/>
  <c r="L9" i="4" s="1"/>
  <c r="D102" i="1"/>
  <c r="E27" i="1"/>
  <c r="D8" i="4" s="1"/>
  <c r="F27" i="1"/>
  <c r="E8" i="4" s="1"/>
  <c r="G27" i="1"/>
  <c r="F8" i="4" s="1"/>
  <c r="H27" i="1"/>
  <c r="G8" i="4" s="1"/>
  <c r="I27" i="1"/>
  <c r="H8" i="4" s="1"/>
  <c r="J27" i="1"/>
  <c r="I8" i="4" s="1"/>
  <c r="K27" i="1"/>
  <c r="J8" i="4" s="1"/>
  <c r="L27" i="1"/>
  <c r="K8" i="4" s="1"/>
  <c r="M27" i="1"/>
  <c r="L8" i="4" s="1"/>
  <c r="D27" i="1"/>
  <c r="C8" i="4" s="1"/>
  <c r="L112" i="1" l="1"/>
  <c r="K11" i="4" s="1"/>
  <c r="K112" i="1"/>
  <c r="J9" i="4"/>
  <c r="I112" i="1"/>
  <c r="H11" i="4" s="1"/>
  <c r="H10" i="4"/>
  <c r="J112" i="1"/>
  <c r="I10" i="4"/>
  <c r="H112" i="1"/>
  <c r="G10" i="4"/>
  <c r="G112" i="1"/>
  <c r="F9" i="4"/>
  <c r="F112" i="1"/>
  <c r="E10" i="4"/>
  <c r="E112" i="1"/>
  <c r="D10" i="4"/>
  <c r="D112" i="1"/>
  <c r="C11" i="4" s="1"/>
  <c r="C9" i="4"/>
  <c r="M112" i="1"/>
  <c r="E11" i="4" l="1"/>
  <c r="G11" i="4"/>
  <c r="D11" i="4"/>
  <c r="F11" i="4"/>
  <c r="L11" i="4"/>
  <c r="I11" i="4"/>
  <c r="J11" i="4"/>
  <c r="D5" i="4" l="1"/>
  <c r="E5" i="4"/>
  <c r="F5" i="4"/>
  <c r="G5" i="4"/>
  <c r="H5" i="4"/>
  <c r="I5" i="4"/>
  <c r="J5" i="4"/>
  <c r="K5" i="4"/>
  <c r="L5" i="4"/>
  <c r="C5" i="4"/>
  <c r="G21" i="1"/>
  <c r="F6" i="4" s="1"/>
  <c r="M21" i="1" l="1"/>
  <c r="L6" i="4" s="1"/>
  <c r="M11" i="1"/>
  <c r="L4" i="4" s="1"/>
  <c r="M22" i="1" l="1"/>
  <c r="L7" i="4" l="1"/>
  <c r="M113" i="1"/>
  <c r="L12" i="4" s="1"/>
  <c r="C6" i="4"/>
  <c r="E21" i="1"/>
  <c r="D6" i="4" s="1"/>
  <c r="D11" i="1"/>
  <c r="E11" i="1"/>
  <c r="D4" i="4" s="1"/>
  <c r="F21" i="1"/>
  <c r="E6" i="4" s="1"/>
  <c r="F11" i="1"/>
  <c r="E4" i="4" s="1"/>
  <c r="C4" i="4" l="1"/>
  <c r="D22" i="1"/>
  <c r="E22" i="1"/>
  <c r="F22" i="1"/>
  <c r="G11" i="1"/>
  <c r="K6" i="4"/>
  <c r="D7" i="4" l="1"/>
  <c r="E113" i="1"/>
  <c r="D12" i="4" s="1"/>
  <c r="E7" i="4"/>
  <c r="F113" i="1"/>
  <c r="E12" i="4" s="1"/>
  <c r="C7" i="4"/>
  <c r="D113" i="1"/>
  <c r="C12" i="4" s="1"/>
  <c r="F4" i="4"/>
  <c r="G22" i="1"/>
  <c r="F7" i="4" l="1"/>
  <c r="G113" i="1"/>
  <c r="F12" i="4" s="1"/>
  <c r="I11" i="1"/>
  <c r="H4" i="4" s="1"/>
  <c r="J11" i="1" l="1"/>
  <c r="I4" i="4" s="1"/>
  <c r="K11" i="1"/>
  <c r="J4" i="4" s="1"/>
  <c r="L11" i="1"/>
  <c r="K4" i="4" s="1"/>
  <c r="H11" i="1"/>
  <c r="G4" i="4" s="1"/>
  <c r="H6" i="4"/>
  <c r="J21" i="1"/>
  <c r="I6" i="4" s="1"/>
  <c r="K21" i="1"/>
  <c r="J6" i="4" s="1"/>
  <c r="H21" i="1"/>
  <c r="G6" i="4" s="1"/>
  <c r="H22" i="1" l="1"/>
  <c r="K22" i="1"/>
  <c r="I22" i="1"/>
  <c r="L22" i="1"/>
  <c r="J22" i="1"/>
  <c r="I7" i="4" l="1"/>
  <c r="J113" i="1"/>
  <c r="I12" i="4" s="1"/>
  <c r="J7" i="4"/>
  <c r="K113" i="1"/>
  <c r="J12" i="4" s="1"/>
  <c r="G7" i="4"/>
  <c r="H113" i="1"/>
  <c r="G12" i="4" s="1"/>
  <c r="K7" i="4"/>
  <c r="L113" i="1"/>
  <c r="K12" i="4" s="1"/>
  <c r="H7" i="4"/>
  <c r="I113" i="1"/>
  <c r="H12" i="4" s="1"/>
</calcChain>
</file>

<file path=xl/sharedStrings.xml><?xml version="1.0" encoding="utf-8"?>
<sst xmlns="http://schemas.openxmlformats.org/spreadsheetml/2006/main" count="318" uniqueCount="148">
  <si>
    <t>Residency</t>
  </si>
  <si>
    <t>Product Type</t>
  </si>
  <si>
    <t>Non-Resident</t>
  </si>
  <si>
    <t>Classified Waters</t>
  </si>
  <si>
    <t>Ahnuhati - Class II (Apr 1 - Jun 30)</t>
  </si>
  <si>
    <t>Ahnuhati - Class II (Jul 1 - Oct 31)</t>
  </si>
  <si>
    <t>Basic Licence</t>
  </si>
  <si>
    <t>Annual Angling Licence</t>
  </si>
  <si>
    <t>Resident</t>
  </si>
  <si>
    <t>Annual Licence for Disabled</t>
  </si>
  <si>
    <t>Babine - Class I (Sep 1 - Oct 31)</t>
  </si>
  <si>
    <t>Bulkley - Class II (Sep 1 - Oct 31)</t>
  </si>
  <si>
    <t>Bull - Class II (Apr 1 - Mar 31)</t>
  </si>
  <si>
    <t>Chilko - Class II (Jun 11 - Oct 31)</t>
  </si>
  <si>
    <t>Chuckwalla/Kilbella - Class II (Apr 1 - May 31)</t>
  </si>
  <si>
    <t>Damdochax - Class II (Sep 1 - Oct 31)</t>
  </si>
  <si>
    <t>Dean - Class I Crag (Jun 1 - Sep 30)</t>
  </si>
  <si>
    <t>Dean - Class I Kalone (Jun 1 - Sep 30)</t>
  </si>
  <si>
    <t>Dean - Class I Lower (Jun 1 - Sep 30)</t>
  </si>
  <si>
    <t>Dean - Class I Lower (Jun 1 - Sep 30)C</t>
  </si>
  <si>
    <t>Dean - Class II Anahim (Jun 16 - Oct 31)</t>
  </si>
  <si>
    <t>Ecstall - Class II (Apr 1 - Mar 31)</t>
  </si>
  <si>
    <t>Eight Day Angling Licence</t>
  </si>
  <si>
    <t>Elk - Class II (Apr 1 - Mar 31)</t>
  </si>
  <si>
    <t>Family Fishing Weekend Licence</t>
  </si>
  <si>
    <t>Gitnadoix - Class I (Apr 1 - May 31)</t>
  </si>
  <si>
    <t>Gitnadoix - Class I (Jun 1 - Mar 31)</t>
  </si>
  <si>
    <t>Horsefly - Class II (Jun 1 - Oct 31)</t>
  </si>
  <si>
    <t>Kakweiken - Class II (Apr 1 - Jun 30)</t>
  </si>
  <si>
    <t>Kakweiken - Class II (Jul 1 - Oct 31)</t>
  </si>
  <si>
    <t>Kingcome - Class II (Apr 1 - Jun 30)</t>
  </si>
  <si>
    <t>Kingcome - Class II (Jul 1 - Oct 31)</t>
  </si>
  <si>
    <t>Kispiox - Class II (Sep 1 - Oct 31)</t>
  </si>
  <si>
    <t>Kitseguecla - Class II (Apr 1 - Aug 31)</t>
  </si>
  <si>
    <t>Kitseguecla - Class II (Nov 1 - Mar 31)</t>
  </si>
  <si>
    <t>Kitseguecla - Class II (Sep 1 - Oct 31)</t>
  </si>
  <si>
    <t>Kitsumkalum - Class II (Apr 1 - May 31)</t>
  </si>
  <si>
    <t>Kitsumkalum - Class II (Aug 7 - Mar 31)</t>
  </si>
  <si>
    <t>Kitsumkalum - Class II (Jun 1 - Aug 6)</t>
  </si>
  <si>
    <t>Kitwanga - Class II (Apr 1 - August 31)</t>
  </si>
  <si>
    <t>Kitwanga - Class II (Nov 1 - Mar 31)</t>
  </si>
  <si>
    <t>Kitwanga - Class II (Sep 1 - Oct 31)</t>
  </si>
  <si>
    <t>Kluatantan - Class II (Apr 1 - Aug 31)</t>
  </si>
  <si>
    <t>Kluatantan - Class II (Sep 1 - Oct 31)</t>
  </si>
  <si>
    <t>Kootenay - Class II (Apr 1 - Mar 31)</t>
  </si>
  <si>
    <t>Conservation Surcharge</t>
  </si>
  <si>
    <t>Kootenay Lake Rainbow Trout</t>
  </si>
  <si>
    <t>Kwinageese - Class II (Sep 1 - Oct 31)</t>
  </si>
  <si>
    <t>Kwinamass - Class II (Apr 1 - May 31)</t>
  </si>
  <si>
    <t>Kwinamass - Class II (Jun 1 - Sep 30)</t>
  </si>
  <si>
    <t>Lakelse - Class I (Apr 1 - May 31)</t>
  </si>
  <si>
    <t>Lakelse - Class I (Jun 1 - Aug 31)</t>
  </si>
  <si>
    <t>Lakelse - Class I (Sept 1 - Mar 31)</t>
  </si>
  <si>
    <t>Michel - Class ll (Apr 1 - Mar 31)</t>
  </si>
  <si>
    <t>Morice - Class II (Sep 1 - Oct 31)</t>
  </si>
  <si>
    <t>Nekite - Class II (Apr 1 - May 31)</t>
  </si>
  <si>
    <t>Non-Tidal Salmon</t>
  </si>
  <si>
    <t>One Day Angling Licence</t>
  </si>
  <si>
    <t>Q. Charlotte Others - Class II (Apr 1 - Apr 30)</t>
  </si>
  <si>
    <t>Q. Charlotte Others - Class II (Dec 1 - Mar 31)</t>
  </si>
  <si>
    <t>Q. Charlotte Others - Class II (Sep 1 - Nov 30)</t>
  </si>
  <si>
    <t>Seymour - Class II (Aug 15 - Oct 31)</t>
  </si>
  <si>
    <t>Shuswap Lake Char</t>
  </si>
  <si>
    <t>Shuswap Lake Rainbow Trout</t>
  </si>
  <si>
    <t>Skeena - Class II Exchamsiks (Jul 1 - Sep 30)</t>
  </si>
  <si>
    <t>Skeena - Class II Zymoetz (Jul 1 - Dec 31)</t>
  </si>
  <si>
    <t>Skookumchuck - Class II (Apr 1 - Mar 31)</t>
  </si>
  <si>
    <t>St. Mary - Class II (Apr 1 - Mar 31)</t>
  </si>
  <si>
    <t>Steelhead</t>
  </si>
  <si>
    <t>Stellako - Class II (Apr 1 - Mar 31)</t>
  </si>
  <si>
    <t>Sturgeon (1 Day)</t>
  </si>
  <si>
    <t>Sturgeon (8 Day)</t>
  </si>
  <si>
    <t>Sturgeon (Annual)</t>
  </si>
  <si>
    <t>Suskwa - Class I (Apr 1 - Aug 31)</t>
  </si>
  <si>
    <t>Suskwa - Class I (Nov 1 - Mar 31)</t>
  </si>
  <si>
    <t>Suskwa - Class I (Sep 1 - Oct 31)</t>
  </si>
  <si>
    <t>Sustut - Class I (Sep 1 - Oct 31)</t>
  </si>
  <si>
    <t>Thompson - Class II (Oct 1 - Dec 31)</t>
  </si>
  <si>
    <t>Wakeman - Class II (Apr 1 - Jun 30)</t>
  </si>
  <si>
    <t>Wakeman - Class II (Jul 1 - Oct 31)</t>
  </si>
  <si>
    <t>West Road (Blackwater) - Class II (Jun 15 - Oct 31)</t>
  </si>
  <si>
    <t>White - Class II (Apr 1 - Mar 31)</t>
  </si>
  <si>
    <t>Wigwam - Class II (Apr 1 - Mar 31)</t>
  </si>
  <si>
    <t>Yakoun - Class II (Apr 1 - Apr 30)</t>
  </si>
  <si>
    <t>Yakoun - Class II (Dec 1 - Mar 31)</t>
  </si>
  <si>
    <t>Yakoun - Class II (Sep 1 - Nov 30)</t>
  </si>
  <si>
    <t>Zymoetz - Class I Above (July 24 - Dec 31)</t>
  </si>
  <si>
    <t>Zymoetz - Class ll Below (April 1 - May 31)</t>
  </si>
  <si>
    <t>Zymoetz - Class ll Below (July 24 - March 31)</t>
  </si>
  <si>
    <t>14/15</t>
  </si>
  <si>
    <t>15/16</t>
  </si>
  <si>
    <t>16/17</t>
  </si>
  <si>
    <t>17/18</t>
  </si>
  <si>
    <t>18/19</t>
  </si>
  <si>
    <t>19/20</t>
  </si>
  <si>
    <t>Total Resident Basic Licences</t>
  </si>
  <si>
    <t>Annual Angling Licence Sales by Type</t>
  </si>
  <si>
    <t>Total Resident Conservation Surcharges</t>
  </si>
  <si>
    <t>Total Non-Resident Basic Licences</t>
  </si>
  <si>
    <t>All Types</t>
  </si>
  <si>
    <t>Total Resident Transactions</t>
  </si>
  <si>
    <t>Total Non-Resident Conservation Surcharges</t>
  </si>
  <si>
    <t>Total Non-Resident Transactions</t>
  </si>
  <si>
    <t>Total Transactions</t>
  </si>
  <si>
    <t>Authorization Type</t>
  </si>
  <si>
    <t>Classified Waters Licences</t>
  </si>
  <si>
    <t>Classified Waters Days</t>
  </si>
  <si>
    <t>ALL</t>
  </si>
  <si>
    <t>Total Non-Resident Classified Waters Days</t>
  </si>
  <si>
    <t>Notes</t>
  </si>
  <si>
    <t>13/14</t>
  </si>
  <si>
    <t>12/13</t>
  </si>
  <si>
    <t>11/12</t>
  </si>
  <si>
    <t>10/11</t>
  </si>
  <si>
    <t>20/21</t>
  </si>
  <si>
    <t>Resident Basic Licences</t>
  </si>
  <si>
    <t>Resident Conservation Surcharges</t>
  </si>
  <si>
    <t>Resident Transactions</t>
  </si>
  <si>
    <t>Non-Resident Basic Licences</t>
  </si>
  <si>
    <t>Non-Resident Classified Waters Days</t>
  </si>
  <si>
    <t>Non-Resident Conservation Surcharges</t>
  </si>
  <si>
    <t>Non-Resident Transactions</t>
  </si>
  <si>
    <t>Date source: E-Licencing data from Corral database</t>
  </si>
  <si>
    <t>Data Notes</t>
  </si>
  <si>
    <t>Licence Type</t>
  </si>
  <si>
    <t>Non-resident licence statistics include Canadian Residents (outside BC) and Non-Residents (outside Canada)</t>
  </si>
  <si>
    <t>Non-resident Classified Waters statistics are number of Days Sold rather than Licence Sales</t>
  </si>
  <si>
    <t>Dean - Class II Anahim (Jun 16 - Oct 31)C</t>
  </si>
  <si>
    <t>Classified Waters Licence</t>
  </si>
  <si>
    <t>Bella Coola/Atnarko - Class II (Mar 1 - Mar 31)</t>
  </si>
  <si>
    <t>Dean - Class 1 Upper - Draw (Jun - Sep)</t>
  </si>
  <si>
    <t>21/22</t>
  </si>
  <si>
    <t>Bella Coola/Atnarko - Class II (Apr 1 - May 31)</t>
  </si>
  <si>
    <t>Dean - Class I Guided &amp; Unguided (Jun - Sep)</t>
  </si>
  <si>
    <t>22/23</t>
  </si>
  <si>
    <t>Annual Angling Licence (Age 65 +) - full price</t>
  </si>
  <si>
    <t>Annual Angling Licence (Age 65 +) - reduced rate</t>
  </si>
  <si>
    <t>23/24 (YTD to Febuary 29, 2024)</t>
  </si>
  <si>
    <t>Annual Angling Licence Revenue by Type</t>
  </si>
  <si>
    <t>Total Revenue</t>
  </si>
  <si>
    <t>Total Resident Revenue</t>
  </si>
  <si>
    <t>Total Resident Basic Licence Revenue</t>
  </si>
  <si>
    <t>Annual Angling Licence - Non-Resident</t>
  </si>
  <si>
    <t>Annual Angling Licence - Non-Resident Alien</t>
  </si>
  <si>
    <t>Eight Day Angling Licence - Non-Resident</t>
  </si>
  <si>
    <t>Eight Day Angling Licence - Non-Resident Alien</t>
  </si>
  <si>
    <t>23/24</t>
  </si>
  <si>
    <t>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</si>
</sst>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_-;\-&quot;$&quot;* #,##0_-;_-&quot;$&quot;* &quot;-&quot;??_-;_-@_-"/>
    <numFmt numFmtId="165" formatCode="_-* #,##0_-;\-* #,##0_-;_-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3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5">
    <xf numFmtId="0" fontId="0" fillId="0" borderId="0" xfId="0"/>
    <xf numFmtId="3" fontId="0" fillId="0" borderId="0" xfId="0" applyNumberFormat="1"/>
    <xf numFmtId="0" fontId="19" fillId="0" borderId="0" xfId="0" applyFont="1"/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10" xfId="0" applyBorder="1"/>
    <xf numFmtId="0" fontId="14" fillId="0" borderId="10" xfId="0" applyFont="1" applyBorder="1"/>
    <xf numFmtId="3" fontId="14" fillId="0" borderId="10" xfId="0" applyNumberFormat="1" applyFont="1" applyBorder="1"/>
    <xf numFmtId="0" fontId="0" fillId="0" borderId="12" xfId="0" applyBorder="1"/>
    <xf numFmtId="0" fontId="14" fillId="0" borderId="12" xfId="0" applyFont="1" applyBorder="1"/>
    <xf numFmtId="3" fontId="14" fillId="0" borderId="12" xfId="0" applyNumberFormat="1" applyFont="1" applyBorder="1"/>
    <xf numFmtId="0" fontId="0" fillId="0" borderId="13" xfId="0" applyBorder="1"/>
    <xf numFmtId="3" fontId="14" fillId="0" borderId="13" xfId="0" applyNumberFormat="1" applyFont="1" applyBorder="1"/>
    <xf numFmtId="0" fontId="14" fillId="0" borderId="13" xfId="0" applyFont="1" applyBorder="1"/>
    <xf numFmtId="3" fontId="14" fillId="0" borderId="14" xfId="0" applyNumberFormat="1" applyFont="1" applyBorder="1"/>
    <xf numFmtId="0" fontId="0" fillId="33" borderId="0" xfId="0" applyFill="1"/>
    <xf numFmtId="0" fontId="20" fillId="0" borderId="0" xfId="0" applyFont="1"/>
    <xf numFmtId="0" fontId="16" fillId="33" borderId="10" xfId="0" applyFont="1" applyFill="1" applyBorder="1"/>
    <xf numFmtId="0" fontId="16" fillId="33" borderId="10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21" fillId="0" borderId="0" xfId="0" applyFont="1"/>
    <xf numFmtId="3" fontId="21" fillId="0" borderId="0" xfId="0" applyNumberFormat="1" applyFont="1"/>
    <xf numFmtId="0" fontId="0" fillId="0" borderId="10" xfId="0" applyBorder="1" applyAlignment="1">
      <alignment vertical="center"/>
    </xf>
    <xf numFmtId="3" fontId="16" fillId="0" borderId="10" xfId="0" applyNumberFormat="1" applyFont="1" applyBorder="1" applyAlignment="1">
      <alignment horizontal="center"/>
    </xf>
    <xf numFmtId="0" fontId="22" fillId="0" borderId="10" xfId="0" applyFont="1" applyBorder="1"/>
    <xf numFmtId="3" fontId="22" fillId="0" borderId="10" xfId="0" applyNumberFormat="1" applyFont="1" applyBorder="1"/>
    <xf numFmtId="0" fontId="16" fillId="0" borderId="15" xfId="0" applyFont="1" applyBorder="1"/>
    <xf numFmtId="0" fontId="0" fillId="0" borderId="15" xfId="0" applyBorder="1"/>
    <xf numFmtId="0" fontId="14" fillId="0" borderId="15" xfId="0" applyFont="1" applyBorder="1"/>
    <xf numFmtId="3" fontId="14" fillId="0" borderId="15" xfId="0" applyNumberFormat="1" applyFont="1" applyBorder="1"/>
    <xf numFmtId="3" fontId="16" fillId="0" borderId="10" xfId="0" quotePrefix="1" applyNumberFormat="1" applyFont="1" applyBorder="1" applyAlignment="1">
      <alignment horizontal="center"/>
    </xf>
    <xf numFmtId="3" fontId="24" fillId="0" borderId="16" xfId="42" applyNumberFormat="1" applyFont="1" applyBorder="1" applyAlignment="1">
      <alignment horizontal="right"/>
    </xf>
    <xf numFmtId="3" fontId="16" fillId="0" borderId="10" xfId="0" quotePrefix="1" applyNumberFormat="1" applyFont="1" applyBorder="1" applyAlignment="1">
      <alignment horizontal="left"/>
    </xf>
    <xf numFmtId="164" fontId="0" fillId="0" borderId="0" xfId="43" applyNumberFormat="1" applyFont="1"/>
    <xf numFmtId="164" fontId="24" fillId="0" borderId="16" xfId="43" applyNumberFormat="1" applyFont="1" applyBorder="1" applyAlignment="1">
      <alignment horizontal="right"/>
    </xf>
    <xf numFmtId="164" fontId="14" fillId="0" borderId="12" xfId="43" applyNumberFormat="1" applyFont="1" applyBorder="1"/>
    <xf numFmtId="164" fontId="14" fillId="0" borderId="13" xfId="43" applyNumberFormat="1" applyFont="1" applyBorder="1"/>
    <xf numFmtId="164" fontId="14" fillId="0" borderId="10" xfId="43" applyNumberFormat="1" applyFont="1" applyBorder="1"/>
    <xf numFmtId="164" fontId="14" fillId="0" borderId="14" xfId="43" applyNumberFormat="1" applyFont="1" applyBorder="1"/>
    <xf numFmtId="164" fontId="14" fillId="0" borderId="15" xfId="43" applyNumberFormat="1" applyFont="1" applyBorder="1"/>
    <xf numFmtId="165" fontId="0" fillId="0" borderId="0" xfId="44" applyNumberFormat="1" applyFont="1"/>
    <xf numFmtId="0" fontId="16" fillId="0" borderId="10" xfId="0" quotePrefix="1" applyFont="1" applyBorder="1" applyAlignment="1">
      <alignment horizontal="center"/>
    </xf>
    <xf numFmtId="0" fontId="18" fillId="0" borderId="11" xfId="0" applyFont="1" applyBorder="1" applyAlignment="1">
      <alignment horizontal="center" vertical="center" textRotation="90"/>
    </xf>
    <xf numFmtId="0" fontId="18" fillId="0" borderId="0" xfId="0" applyFont="1" applyAlignment="1">
      <alignment horizontal="center" vertical="center" textRotation="90"/>
    </xf>
    <xf numFmtId="0" fontId="18" fillId="0" borderId="10" xfId="0" applyFont="1" applyBorder="1" applyAlignment="1">
      <alignment horizontal="center" vertical="center" textRotation="90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4" builtinId="3"/>
    <cellStyle name="Currency" xfId="43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Sheet1" xfId="42" xr:uid="{49E17C1E-A3F1-4B43-B860-5D1FDDDA7681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Basic Angling Licence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Graphs!$B$4</c:f>
              <c:strCache>
                <c:ptCount val="1"/>
                <c:pt idx="0">
                  <c:v>Resident Basic Licences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Graphs!$C$3:$Q$3</c:f>
              <c:strCache>
                <c:ptCount val="15"/>
                <c:pt idx="0">
                  <c:v>10/11</c:v>
                </c:pt>
                <c:pt idx="1">
                  <c:v>11/12</c:v>
                </c:pt>
                <c:pt idx="2">
                  <c:v>12/13</c:v>
                </c:pt>
                <c:pt idx="3">
                  <c:v>13/14</c:v>
                </c:pt>
                <c:pt idx="4">
                  <c:v>14/15</c:v>
                </c:pt>
                <c:pt idx="5">
                  <c:v>15/16</c:v>
                </c:pt>
                <c:pt idx="6">
                  <c:v>16/17</c:v>
                </c:pt>
                <c:pt idx="7">
                  <c:v>17/18</c:v>
                </c:pt>
                <c:pt idx="8">
                  <c:v>18/19</c:v>
                </c:pt>
                <c:pt idx="9">
                  <c:v>19/20</c:v>
                </c:pt>
                <c:pt idx="10">
                  <c:v>20/21</c:v>
                </c:pt>
                <c:pt idx="11">
                  <c:v>21/22</c:v>
                </c:pt>
                <c:pt idx="12">
                  <c:v>22/23</c:v>
                </c:pt>
                <c:pt idx="13">
                  <c:v>23/24</c:v>
                </c:pt>
                <c:pt idx="14">
                  <c:v>24/25</c:v>
                </c:pt>
              </c:strCache>
            </c:strRef>
          </c:cat>
          <c:val>
            <c:numRef>
              <c:f>Graphs!$C$4:$Q$4</c:f>
              <c:numCache>
                <c:formatCode>#,##0</c:formatCode>
                <c:ptCount val="15"/>
                <c:pt idx="0">
                  <c:v>281261</c:v>
                </c:pt>
                <c:pt idx="1">
                  <c:v>275243</c:v>
                </c:pt>
                <c:pt idx="2">
                  <c:v>271406</c:v>
                </c:pt>
                <c:pt idx="3">
                  <c:v>278723</c:v>
                </c:pt>
                <c:pt idx="4">
                  <c:v>295024</c:v>
                </c:pt>
                <c:pt idx="5">
                  <c:v>279261</c:v>
                </c:pt>
                <c:pt idx="6">
                  <c:v>288346</c:v>
                </c:pt>
                <c:pt idx="7">
                  <c:v>275060</c:v>
                </c:pt>
                <c:pt idx="8">
                  <c:v>282690</c:v>
                </c:pt>
                <c:pt idx="9">
                  <c:v>284877</c:v>
                </c:pt>
                <c:pt idx="10">
                  <c:v>334433</c:v>
                </c:pt>
                <c:pt idx="11">
                  <c:v>295641</c:v>
                </c:pt>
                <c:pt idx="12">
                  <c:v>284659</c:v>
                </c:pt>
                <c:pt idx="13">
                  <c:v>285566</c:v>
                </c:pt>
                <c:pt idx="14">
                  <c:v>290506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FD-49F0-8FA9-3C1F6B4A011D}"/>
            </c:ext>
          </c:extLst>
        </c:ser>
        <c:ser>
          <c:idx val="1"/>
          <c:order val="1"/>
          <c:tx>
            <c:strRef>
              <c:f>Graphs!$B$8</c:f>
              <c:strCache>
                <c:ptCount val="1"/>
                <c:pt idx="0">
                  <c:v>Non-Resident Basic Licences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  <a:effectLst/>
          </c:spPr>
          <c:invertIfNegative val="0"/>
          <c:cat>
            <c:strRef>
              <c:f>Graphs!$C$3:$Q$3</c:f>
              <c:strCache>
                <c:ptCount val="15"/>
                <c:pt idx="0">
                  <c:v>10/11</c:v>
                </c:pt>
                <c:pt idx="1">
                  <c:v>11/12</c:v>
                </c:pt>
                <c:pt idx="2">
                  <c:v>12/13</c:v>
                </c:pt>
                <c:pt idx="3">
                  <c:v>13/14</c:v>
                </c:pt>
                <c:pt idx="4">
                  <c:v>14/15</c:v>
                </c:pt>
                <c:pt idx="5">
                  <c:v>15/16</c:v>
                </c:pt>
                <c:pt idx="6">
                  <c:v>16/17</c:v>
                </c:pt>
                <c:pt idx="7">
                  <c:v>17/18</c:v>
                </c:pt>
                <c:pt idx="8">
                  <c:v>18/19</c:v>
                </c:pt>
                <c:pt idx="9">
                  <c:v>19/20</c:v>
                </c:pt>
                <c:pt idx="10">
                  <c:v>20/21</c:v>
                </c:pt>
                <c:pt idx="11">
                  <c:v>21/22</c:v>
                </c:pt>
                <c:pt idx="12">
                  <c:v>22/23</c:v>
                </c:pt>
                <c:pt idx="13">
                  <c:v>23/24</c:v>
                </c:pt>
                <c:pt idx="14">
                  <c:v>24/25</c:v>
                </c:pt>
              </c:strCache>
            </c:strRef>
          </c:cat>
          <c:val>
            <c:numRef>
              <c:f>Graphs!$C$8:$Q$8</c:f>
              <c:numCache>
                <c:formatCode>#,##0</c:formatCode>
                <c:ptCount val="15"/>
                <c:pt idx="0">
                  <c:v>60595</c:v>
                </c:pt>
                <c:pt idx="1">
                  <c:v>61778</c:v>
                </c:pt>
                <c:pt idx="2">
                  <c:v>61618</c:v>
                </c:pt>
                <c:pt idx="3">
                  <c:v>65190</c:v>
                </c:pt>
                <c:pt idx="4">
                  <c:v>70025</c:v>
                </c:pt>
                <c:pt idx="5">
                  <c:v>71925</c:v>
                </c:pt>
                <c:pt idx="6">
                  <c:v>76405</c:v>
                </c:pt>
                <c:pt idx="7">
                  <c:v>72512</c:v>
                </c:pt>
                <c:pt idx="8">
                  <c:v>73225</c:v>
                </c:pt>
                <c:pt idx="9">
                  <c:v>74177</c:v>
                </c:pt>
                <c:pt idx="10">
                  <c:v>46300</c:v>
                </c:pt>
                <c:pt idx="11">
                  <c:v>46040</c:v>
                </c:pt>
                <c:pt idx="12">
                  <c:v>62274</c:v>
                </c:pt>
                <c:pt idx="13">
                  <c:v>73445</c:v>
                </c:pt>
                <c:pt idx="14">
                  <c:v>67063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FD-49F0-8FA9-3C1F6B4A01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9612400"/>
        <c:axId val="539610760"/>
      </c:barChart>
      <c:catAx>
        <c:axId val="539612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174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610760"/>
        <c:crosses val="autoZero"/>
        <c:auto val="1"/>
        <c:lblAlgn val="ctr"/>
        <c:lblOffset val="100"/>
        <c:noMultiLvlLbl val="0"/>
      </c:catAx>
      <c:valAx>
        <c:axId val="539610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612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Total Angling Transactions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Residents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Graphs!$C$3:$O$3</c:f>
              <c:strCache>
                <c:ptCount val="13"/>
                <c:pt idx="0">
                  <c:v>10/11</c:v>
                </c:pt>
                <c:pt idx="1">
                  <c:v>11/12</c:v>
                </c:pt>
                <c:pt idx="2">
                  <c:v>12/13</c:v>
                </c:pt>
                <c:pt idx="3">
                  <c:v>13/14</c:v>
                </c:pt>
                <c:pt idx="4">
                  <c:v>14/15</c:v>
                </c:pt>
                <c:pt idx="5">
                  <c:v>15/16</c:v>
                </c:pt>
                <c:pt idx="6">
                  <c:v>16/17</c:v>
                </c:pt>
                <c:pt idx="7">
                  <c:v>17/18</c:v>
                </c:pt>
                <c:pt idx="8">
                  <c:v>18/19</c:v>
                </c:pt>
                <c:pt idx="9">
                  <c:v>19/20</c:v>
                </c:pt>
                <c:pt idx="10">
                  <c:v>20/21</c:v>
                </c:pt>
                <c:pt idx="11">
                  <c:v>21/22</c:v>
                </c:pt>
                <c:pt idx="12">
                  <c:v>22/23</c:v>
                </c:pt>
              </c:strCache>
            </c:strRef>
          </c:cat>
          <c:val>
            <c:numRef>
              <c:f>Graphs!$C$7:$O$7</c:f>
              <c:numCache>
                <c:formatCode>#,##0</c:formatCode>
                <c:ptCount val="13"/>
                <c:pt idx="0">
                  <c:v>399665</c:v>
                </c:pt>
                <c:pt idx="1">
                  <c:v>387313</c:v>
                </c:pt>
                <c:pt idx="2">
                  <c:v>378212</c:v>
                </c:pt>
                <c:pt idx="3">
                  <c:v>396087</c:v>
                </c:pt>
                <c:pt idx="4">
                  <c:v>438818</c:v>
                </c:pt>
                <c:pt idx="5">
                  <c:v>398271</c:v>
                </c:pt>
                <c:pt idx="6">
                  <c:v>403773</c:v>
                </c:pt>
                <c:pt idx="7">
                  <c:v>382037</c:v>
                </c:pt>
                <c:pt idx="8">
                  <c:v>397973</c:v>
                </c:pt>
                <c:pt idx="9">
                  <c:v>384278</c:v>
                </c:pt>
                <c:pt idx="10">
                  <c:v>450962</c:v>
                </c:pt>
                <c:pt idx="11">
                  <c:v>408288</c:v>
                </c:pt>
                <c:pt idx="12">
                  <c:v>401103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4A-457F-895F-A8188583FD42}"/>
            </c:ext>
          </c:extLst>
        </c:ser>
        <c:ser>
          <c:idx val="1"/>
          <c:order val="1"/>
          <c:tx>
            <c:v>Non-Residents</c:v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Graphs!$C$3:$O$3</c:f>
              <c:strCache>
                <c:ptCount val="13"/>
                <c:pt idx="0">
                  <c:v>10/11</c:v>
                </c:pt>
                <c:pt idx="1">
                  <c:v>11/12</c:v>
                </c:pt>
                <c:pt idx="2">
                  <c:v>12/13</c:v>
                </c:pt>
                <c:pt idx="3">
                  <c:v>13/14</c:v>
                </c:pt>
                <c:pt idx="4">
                  <c:v>14/15</c:v>
                </c:pt>
                <c:pt idx="5">
                  <c:v>15/16</c:v>
                </c:pt>
                <c:pt idx="6">
                  <c:v>16/17</c:v>
                </c:pt>
                <c:pt idx="7">
                  <c:v>17/18</c:v>
                </c:pt>
                <c:pt idx="8">
                  <c:v>18/19</c:v>
                </c:pt>
                <c:pt idx="9">
                  <c:v>19/20</c:v>
                </c:pt>
                <c:pt idx="10">
                  <c:v>20/21</c:v>
                </c:pt>
                <c:pt idx="11">
                  <c:v>21/22</c:v>
                </c:pt>
                <c:pt idx="12">
                  <c:v>22/23</c:v>
                </c:pt>
              </c:strCache>
            </c:strRef>
          </c:cat>
          <c:val>
            <c:numRef>
              <c:f>Graphs!$C$11:$O$11</c:f>
              <c:numCache>
                <c:formatCode>#,##0</c:formatCode>
                <c:ptCount val="13"/>
                <c:pt idx="0">
                  <c:v>105641</c:v>
                </c:pt>
                <c:pt idx="1">
                  <c:v>109143</c:v>
                </c:pt>
                <c:pt idx="2">
                  <c:v>108141</c:v>
                </c:pt>
                <c:pt idx="3">
                  <c:v>115860</c:v>
                </c:pt>
                <c:pt idx="4">
                  <c:v>126545</c:v>
                </c:pt>
                <c:pt idx="5">
                  <c:v>128686</c:v>
                </c:pt>
                <c:pt idx="6">
                  <c:v>135475</c:v>
                </c:pt>
                <c:pt idx="7">
                  <c:v>127714</c:v>
                </c:pt>
                <c:pt idx="8">
                  <c:v>129850</c:v>
                </c:pt>
                <c:pt idx="9">
                  <c:v>126609</c:v>
                </c:pt>
                <c:pt idx="10">
                  <c:v>65165</c:v>
                </c:pt>
                <c:pt idx="11">
                  <c:v>74321</c:v>
                </c:pt>
                <c:pt idx="12">
                  <c:v>107455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4A-457F-895F-A8188583F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604676608"/>
        <c:axId val="604674968"/>
      </c:barChart>
      <c:catAx>
        <c:axId val="604676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674968"/>
        <c:crosses val="autoZero"/>
        <c:auto val="1"/>
        <c:lblAlgn val="ctr"/>
        <c:lblOffset val="100"/>
        <c:noMultiLvlLbl val="0"/>
      </c:catAx>
      <c:valAx>
        <c:axId val="604674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676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605790</xdr:colOff>
      <xdr:row>12</xdr:row>
      <xdr:rowOff>178752</xdr:rowOff>
    </xdr:from>
    <xdr:to>
      <xdr:col>9</xdr:col>
      <xdr:colOff>177800</xdr:colOff>
      <xdr:row>30</xdr:row>
      <xdr:rowOff>31750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31F3797-2ED2-463B-B20D-06ECE3CE11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569594</xdr:colOff>
      <xdr:row>13</xdr:row>
      <xdr:rowOff>101916</xdr:rowOff>
    </xdr:from>
    <xdr:to>
      <xdr:col>20</xdr:col>
      <xdr:colOff>403859</xdr:colOff>
      <xdr:row>30</xdr:row>
      <xdr:rowOff>182879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FE70870-C587-440D-BC6D-8BAC2B2A8B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4"/>
  <sheetViews>
    <sheetView tabSelected="1" zoomScale="80" zoomScaleNormal="80" workbookViewId="0">
      <pane xSplit="3" ySplit="3" topLeftCell="L4" activePane="bottomRight" state="frozen"/>
      <selection pane="topRight" activeCell="D1" sqref="D1"/>
      <selection pane="bottomLeft" activeCell="A4" sqref="A4"/>
      <selection pane="bottomRight" activeCell="R110" sqref="R110"/>
    </sheetView>
  </sheetViews>
  <sheetFormatPr defaultRowHeight="14.4" x14ac:dyDescent="0.3"/>
  <cols>
    <col min="1" max="1" width="13" customWidth="1"/>
    <col min="2" max="2" width="23.6640625" customWidth="1"/>
    <col min="3" max="3" width="50.33203125" customWidth="1"/>
    <col min="4" max="8" width="7.88671875" customWidth="1"/>
    <col min="9" max="13" width="8.109375" customWidth="1"/>
    <col min="14" max="14" width="8" style="1" customWidth="1"/>
    <col min="15" max="15" width="8.109375" bestFit="1" customWidth="1"/>
    <col min="16" max="17" width="8.6640625" style="1" customWidth="1"/>
  </cols>
  <sheetData>
    <row r="1" spans="1:18" ht="23.4" x14ac:dyDescent="0.45">
      <c r="A1" s="2" t="s">
        <v>96</v>
      </c>
    </row>
    <row r="2" spans="1:18" x14ac:dyDescent="0.3">
      <c r="P2"/>
      <c r="Q2"/>
    </row>
    <row r="3" spans="1:18" ht="15" thickBot="1" x14ac:dyDescent="0.35">
      <c r="A3" s="3" t="s">
        <v>0</v>
      </c>
      <c r="B3" s="3" t="s">
        <v>1</v>
      </c>
      <c r="C3" s="3" t="s">
        <v>124</v>
      </c>
      <c r="D3" s="4" t="s">
        <v>113</v>
      </c>
      <c r="E3" s="4" t="s">
        <v>112</v>
      </c>
      <c r="F3" s="4" t="s">
        <v>111</v>
      </c>
      <c r="G3" s="4" t="s">
        <v>110</v>
      </c>
      <c r="H3" s="4" t="s">
        <v>89</v>
      </c>
      <c r="I3" s="4" t="s">
        <v>90</v>
      </c>
      <c r="J3" s="4" t="s">
        <v>91</v>
      </c>
      <c r="K3" s="4" t="s">
        <v>92</v>
      </c>
      <c r="L3" s="4" t="s">
        <v>93</v>
      </c>
      <c r="M3" s="4" t="s">
        <v>94</v>
      </c>
      <c r="N3" s="23" t="s">
        <v>114</v>
      </c>
      <c r="O3" s="30" t="s">
        <v>131</v>
      </c>
      <c r="P3" s="30" t="s">
        <v>134</v>
      </c>
      <c r="Q3" s="30" t="s">
        <v>146</v>
      </c>
      <c r="R3" s="41" t="s">
        <v>147</v>
      </c>
    </row>
    <row r="4" spans="1:18" ht="14.4" customHeight="1" x14ac:dyDescent="0.3">
      <c r="A4" s="42" t="s">
        <v>8</v>
      </c>
      <c r="B4" t="s">
        <v>6</v>
      </c>
      <c r="C4" t="s">
        <v>7</v>
      </c>
      <c r="D4" s="1">
        <v>199799</v>
      </c>
      <c r="E4" s="1">
        <v>192825</v>
      </c>
      <c r="F4" s="1">
        <v>187744</v>
      </c>
      <c r="G4" s="1">
        <v>193631</v>
      </c>
      <c r="H4" s="1">
        <v>205903</v>
      </c>
      <c r="I4" s="1">
        <v>194461</v>
      </c>
      <c r="J4" s="1">
        <v>200515</v>
      </c>
      <c r="K4" s="1">
        <v>191361</v>
      </c>
      <c r="L4" s="1">
        <v>194264</v>
      </c>
      <c r="M4" s="1">
        <v>194757</v>
      </c>
      <c r="N4" s="1">
        <v>237539</v>
      </c>
      <c r="O4" s="1">
        <v>206697</v>
      </c>
      <c r="P4" s="1">
        <v>192754</v>
      </c>
      <c r="Q4" s="1">
        <v>189637</v>
      </c>
      <c r="R4" s="1">
        <v>189472</v>
      </c>
    </row>
    <row r="5" spans="1:18" x14ac:dyDescent="0.3">
      <c r="A5" s="43"/>
      <c r="C5" t="s">
        <v>136</v>
      </c>
      <c r="D5" s="1">
        <v>42756</v>
      </c>
      <c r="E5" s="1">
        <v>42938</v>
      </c>
      <c r="F5" s="1">
        <v>44648</v>
      </c>
      <c r="G5" s="1">
        <v>46652</v>
      </c>
      <c r="H5" s="1">
        <v>49624</v>
      </c>
      <c r="I5" s="1">
        <v>49134</v>
      </c>
      <c r="J5" s="1">
        <v>52563</v>
      </c>
      <c r="K5" s="1">
        <v>50533</v>
      </c>
      <c r="L5" s="1">
        <v>53708</v>
      </c>
      <c r="M5" s="1">
        <v>55535</v>
      </c>
      <c r="N5" s="1">
        <v>59249</v>
      </c>
      <c r="O5" s="31">
        <v>57843</v>
      </c>
      <c r="P5" s="1">
        <v>59779</v>
      </c>
      <c r="Q5" s="1">
        <v>60350</v>
      </c>
      <c r="R5" s="1">
        <v>62368</v>
      </c>
    </row>
    <row r="6" spans="1:18" x14ac:dyDescent="0.3">
      <c r="A6" s="43"/>
      <c r="C6" t="s">
        <v>135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31">
        <v>782</v>
      </c>
      <c r="P6" s="1">
        <v>258</v>
      </c>
      <c r="Q6" s="1">
        <v>238</v>
      </c>
      <c r="R6" s="1">
        <v>197</v>
      </c>
    </row>
    <row r="7" spans="1:18" x14ac:dyDescent="0.3">
      <c r="A7" s="43"/>
      <c r="C7" t="s">
        <v>9</v>
      </c>
      <c r="D7" s="1">
        <v>8926</v>
      </c>
      <c r="E7" s="1">
        <v>8970</v>
      </c>
      <c r="F7" s="1">
        <v>9080</v>
      </c>
      <c r="G7" s="1">
        <v>9249</v>
      </c>
      <c r="H7" s="1">
        <v>9682</v>
      </c>
      <c r="I7" s="1">
        <v>9306</v>
      </c>
      <c r="J7" s="1">
        <v>9637</v>
      </c>
      <c r="K7" s="1">
        <v>9143</v>
      </c>
      <c r="L7" s="1">
        <v>8963</v>
      </c>
      <c r="M7" s="1">
        <v>9469</v>
      </c>
      <c r="N7" s="1">
        <v>9628</v>
      </c>
      <c r="O7" s="1">
        <v>8873</v>
      </c>
      <c r="P7" s="1">
        <v>8390</v>
      </c>
      <c r="Q7" s="1">
        <v>8301</v>
      </c>
      <c r="R7" s="1">
        <v>8475</v>
      </c>
    </row>
    <row r="8" spans="1:18" x14ac:dyDescent="0.3">
      <c r="A8" s="43"/>
      <c r="C8" t="s">
        <v>22</v>
      </c>
      <c r="D8" s="1">
        <v>11976</v>
      </c>
      <c r="E8" s="1">
        <v>12088</v>
      </c>
      <c r="F8" s="1">
        <v>11996</v>
      </c>
      <c r="G8" s="1">
        <v>10689</v>
      </c>
      <c r="H8" s="1">
        <v>10831</v>
      </c>
      <c r="I8" s="1">
        <v>9529</v>
      </c>
      <c r="J8" s="1">
        <v>9908</v>
      </c>
      <c r="K8" s="1">
        <v>8566</v>
      </c>
      <c r="L8" s="1">
        <v>9247</v>
      </c>
      <c r="M8" s="1">
        <v>9343</v>
      </c>
      <c r="N8" s="1">
        <v>10043</v>
      </c>
      <c r="O8" s="1">
        <v>7310</v>
      </c>
      <c r="P8" s="1">
        <v>8164</v>
      </c>
      <c r="Q8" s="1">
        <v>8596</v>
      </c>
      <c r="R8" s="1">
        <v>9946</v>
      </c>
    </row>
    <row r="9" spans="1:18" x14ac:dyDescent="0.3">
      <c r="A9" s="43"/>
      <c r="C9" t="s">
        <v>24</v>
      </c>
      <c r="D9" s="1">
        <v>2</v>
      </c>
      <c r="E9" s="1">
        <v>7</v>
      </c>
      <c r="F9" s="1">
        <v>2</v>
      </c>
      <c r="G9" s="1">
        <v>7</v>
      </c>
      <c r="H9" s="1">
        <v>2</v>
      </c>
      <c r="I9" s="1">
        <v>13</v>
      </c>
      <c r="J9" s="1">
        <v>2</v>
      </c>
      <c r="K9" s="1">
        <v>4</v>
      </c>
      <c r="L9" s="1">
        <v>2</v>
      </c>
      <c r="M9" s="1">
        <v>0</v>
      </c>
      <c r="N9" s="1">
        <v>6</v>
      </c>
      <c r="O9" s="1">
        <v>12</v>
      </c>
      <c r="P9" s="1">
        <v>3</v>
      </c>
      <c r="Q9" s="1">
        <v>7</v>
      </c>
      <c r="R9" s="1">
        <v>7</v>
      </c>
    </row>
    <row r="10" spans="1:18" x14ac:dyDescent="0.3">
      <c r="A10" s="43"/>
      <c r="C10" t="s">
        <v>57</v>
      </c>
      <c r="D10" s="1">
        <v>17802</v>
      </c>
      <c r="E10" s="1">
        <v>18415</v>
      </c>
      <c r="F10" s="1">
        <v>17936</v>
      </c>
      <c r="G10" s="1">
        <v>18495</v>
      </c>
      <c r="H10" s="1">
        <v>18982</v>
      </c>
      <c r="I10" s="1">
        <v>16818</v>
      </c>
      <c r="J10" s="1">
        <v>15721</v>
      </c>
      <c r="K10" s="1">
        <v>15453</v>
      </c>
      <c r="L10" s="1">
        <v>16506</v>
      </c>
      <c r="M10" s="1">
        <v>15773</v>
      </c>
      <c r="N10" s="1">
        <v>17968</v>
      </c>
      <c r="O10" s="1">
        <v>14124</v>
      </c>
      <c r="P10" s="1">
        <v>15311</v>
      </c>
      <c r="Q10" s="1">
        <v>18437</v>
      </c>
      <c r="R10" s="1">
        <v>20041</v>
      </c>
    </row>
    <row r="11" spans="1:18" x14ac:dyDescent="0.3">
      <c r="A11" s="43"/>
      <c r="B11" s="8"/>
      <c r="C11" s="9" t="s">
        <v>95</v>
      </c>
      <c r="D11" s="10">
        <f t="shared" ref="D11:E11" si="0">SUM(D4:D10)</f>
        <v>281261</v>
      </c>
      <c r="E11" s="10">
        <f t="shared" si="0"/>
        <v>275243</v>
      </c>
      <c r="F11" s="10">
        <f>SUM(F4:F10)</f>
        <v>271406</v>
      </c>
      <c r="G11" s="10">
        <f>SUM(G4:G10)</f>
        <v>278723</v>
      </c>
      <c r="H11" s="10">
        <f>SUM(H4:H10)</f>
        <v>295024</v>
      </c>
      <c r="I11" s="10">
        <f>SUM(I4:I10)</f>
        <v>279261</v>
      </c>
      <c r="J11" s="10">
        <f t="shared" ref="J11:M11" si="1">SUM(J4:J10)</f>
        <v>288346</v>
      </c>
      <c r="K11" s="10">
        <f t="shared" si="1"/>
        <v>275060</v>
      </c>
      <c r="L11" s="10">
        <f t="shared" si="1"/>
        <v>282690</v>
      </c>
      <c r="M11" s="10">
        <f t="shared" si="1"/>
        <v>284877</v>
      </c>
      <c r="N11" s="10">
        <f>SUM(N4:N10)</f>
        <v>334433</v>
      </c>
      <c r="O11" s="10">
        <f>SUM(O4:O10)</f>
        <v>295641</v>
      </c>
      <c r="P11" s="10">
        <f t="shared" ref="P11:Q11" si="2">SUM(P4:P10)</f>
        <v>284659</v>
      </c>
      <c r="Q11" s="10">
        <f t="shared" si="2"/>
        <v>285566</v>
      </c>
      <c r="R11" s="10">
        <f>SUM(R4:R10)</f>
        <v>290506</v>
      </c>
    </row>
    <row r="12" spans="1:18" x14ac:dyDescent="0.3">
      <c r="A12" s="43"/>
      <c r="B12" s="11" t="s">
        <v>3</v>
      </c>
      <c r="C12" s="13" t="s">
        <v>128</v>
      </c>
      <c r="D12" s="12">
        <v>17573</v>
      </c>
      <c r="E12" s="12">
        <v>17124</v>
      </c>
      <c r="F12" s="12">
        <v>17174</v>
      </c>
      <c r="G12" s="12">
        <v>18215</v>
      </c>
      <c r="H12" s="12">
        <v>20380</v>
      </c>
      <c r="I12" s="12">
        <v>20415</v>
      </c>
      <c r="J12" s="12">
        <v>21052</v>
      </c>
      <c r="K12" s="12">
        <v>18557</v>
      </c>
      <c r="L12" s="12">
        <v>16837</v>
      </c>
      <c r="M12" s="12">
        <v>18018</v>
      </c>
      <c r="N12" s="12">
        <v>21074</v>
      </c>
      <c r="O12" s="12">
        <v>19848</v>
      </c>
      <c r="P12" s="12">
        <v>20264</v>
      </c>
      <c r="Q12" s="12">
        <v>21065</v>
      </c>
      <c r="R12" s="12">
        <v>21535</v>
      </c>
    </row>
    <row r="13" spans="1:18" x14ac:dyDescent="0.3">
      <c r="A13" s="43"/>
      <c r="B13" t="s">
        <v>45</v>
      </c>
      <c r="C13" t="s">
        <v>46</v>
      </c>
      <c r="D13" s="1">
        <v>3308</v>
      </c>
      <c r="E13" s="1">
        <v>3925</v>
      </c>
      <c r="F13" s="1">
        <v>4208</v>
      </c>
      <c r="G13" s="1">
        <v>4330</v>
      </c>
      <c r="H13" s="1">
        <v>3817</v>
      </c>
      <c r="I13" s="1">
        <v>2765</v>
      </c>
      <c r="J13" s="1">
        <v>2197</v>
      </c>
      <c r="K13" s="1">
        <v>2108</v>
      </c>
      <c r="L13" s="1">
        <v>2078</v>
      </c>
      <c r="M13" s="1">
        <v>2092</v>
      </c>
      <c r="N13" s="1">
        <v>2867</v>
      </c>
      <c r="O13" s="1">
        <v>2783</v>
      </c>
      <c r="P13" s="1">
        <v>2682</v>
      </c>
      <c r="Q13" s="1">
        <v>2765</v>
      </c>
      <c r="R13" s="1">
        <v>2599</v>
      </c>
    </row>
    <row r="14" spans="1:18" x14ac:dyDescent="0.3">
      <c r="A14" s="43"/>
      <c r="C14" t="s">
        <v>56</v>
      </c>
      <c r="D14" s="1">
        <v>72198</v>
      </c>
      <c r="E14" s="1">
        <v>62892</v>
      </c>
      <c r="F14" s="1">
        <v>53821</v>
      </c>
      <c r="G14" s="1">
        <v>60845</v>
      </c>
      <c r="H14" s="1">
        <v>83692</v>
      </c>
      <c r="I14" s="1">
        <v>60443</v>
      </c>
      <c r="J14" s="1">
        <v>55945</v>
      </c>
      <c r="K14" s="1">
        <v>51143</v>
      </c>
      <c r="L14" s="1">
        <v>62029</v>
      </c>
      <c r="M14" s="1">
        <v>45840</v>
      </c>
      <c r="N14" s="1">
        <v>55187</v>
      </c>
      <c r="O14" s="1">
        <v>53221</v>
      </c>
      <c r="P14" s="1">
        <v>57499</v>
      </c>
      <c r="Q14" s="1">
        <v>58373</v>
      </c>
      <c r="R14" s="1">
        <v>58057</v>
      </c>
    </row>
    <row r="15" spans="1:18" x14ac:dyDescent="0.3">
      <c r="A15" s="43"/>
      <c r="C15" t="s">
        <v>62</v>
      </c>
      <c r="D15" s="1">
        <v>931</v>
      </c>
      <c r="E15" s="1">
        <v>992</v>
      </c>
      <c r="F15" s="1">
        <v>1093</v>
      </c>
      <c r="G15" s="1">
        <v>1246</v>
      </c>
      <c r="H15" s="1">
        <v>1247</v>
      </c>
      <c r="I15" s="1">
        <v>1271</v>
      </c>
      <c r="J15" s="1">
        <v>1564</v>
      </c>
      <c r="K15" s="1">
        <v>1576</v>
      </c>
      <c r="L15" s="1">
        <v>1549</v>
      </c>
      <c r="M15" s="1">
        <v>1667</v>
      </c>
      <c r="N15" s="1">
        <v>2150</v>
      </c>
      <c r="O15" s="1">
        <v>2078</v>
      </c>
      <c r="P15" s="1">
        <v>2080</v>
      </c>
      <c r="Q15" s="1">
        <v>1806</v>
      </c>
      <c r="R15" s="1">
        <v>1802</v>
      </c>
    </row>
    <row r="16" spans="1:18" x14ac:dyDescent="0.3">
      <c r="A16" s="43"/>
      <c r="C16" t="s">
        <v>63</v>
      </c>
      <c r="D16" s="1">
        <v>3124</v>
      </c>
      <c r="E16" s="1">
        <v>3323</v>
      </c>
      <c r="F16" s="1">
        <v>3676</v>
      </c>
      <c r="G16" s="1">
        <v>3784</v>
      </c>
      <c r="H16" s="1">
        <v>3664</v>
      </c>
      <c r="I16" s="1">
        <v>3626</v>
      </c>
      <c r="J16" s="1">
        <v>4455</v>
      </c>
      <c r="K16" s="1">
        <v>4323</v>
      </c>
      <c r="L16" s="1">
        <v>3986</v>
      </c>
      <c r="M16" s="1">
        <v>4108</v>
      </c>
      <c r="N16" s="1">
        <v>5444</v>
      </c>
      <c r="O16" s="1">
        <v>4934</v>
      </c>
      <c r="P16" s="1">
        <v>4690</v>
      </c>
      <c r="Q16" s="1">
        <v>3983</v>
      </c>
      <c r="R16" s="1">
        <v>4109</v>
      </c>
    </row>
    <row r="17" spans="1:18" x14ac:dyDescent="0.3">
      <c r="A17" s="43"/>
      <c r="C17" t="s">
        <v>68</v>
      </c>
      <c r="D17" s="1">
        <v>14841</v>
      </c>
      <c r="E17" s="1">
        <v>15573</v>
      </c>
      <c r="F17" s="1">
        <v>17368</v>
      </c>
      <c r="G17" s="1">
        <v>18033</v>
      </c>
      <c r="H17" s="1">
        <v>19559</v>
      </c>
      <c r="I17" s="1">
        <v>18537</v>
      </c>
      <c r="J17" s="1">
        <v>18363</v>
      </c>
      <c r="K17" s="1">
        <v>17005</v>
      </c>
      <c r="L17" s="1">
        <v>16136</v>
      </c>
      <c r="M17" s="1">
        <v>15996</v>
      </c>
      <c r="N17" s="1">
        <v>18662</v>
      </c>
      <c r="O17" s="1">
        <v>16843</v>
      </c>
      <c r="P17" s="1">
        <v>16798</v>
      </c>
      <c r="Q17" s="1">
        <v>17145</v>
      </c>
      <c r="R17" s="1">
        <v>18152</v>
      </c>
    </row>
    <row r="18" spans="1:18" x14ac:dyDescent="0.3">
      <c r="A18" s="43"/>
      <c r="C18" t="s">
        <v>70</v>
      </c>
      <c r="D18" s="1">
        <v>2976</v>
      </c>
      <c r="E18" s="1">
        <v>4455</v>
      </c>
      <c r="F18" s="1">
        <v>5488</v>
      </c>
      <c r="G18" s="1">
        <v>6576</v>
      </c>
      <c r="H18" s="1">
        <v>6578</v>
      </c>
      <c r="I18" s="1">
        <v>6888</v>
      </c>
      <c r="J18" s="1">
        <v>6849</v>
      </c>
      <c r="K18" s="1">
        <v>6882</v>
      </c>
      <c r="L18" s="1">
        <v>7112</v>
      </c>
      <c r="M18" s="1">
        <v>6399</v>
      </c>
      <c r="N18" s="1">
        <v>5951</v>
      </c>
      <c r="O18" s="1">
        <v>7118</v>
      </c>
      <c r="P18" s="1">
        <v>6856</v>
      </c>
      <c r="Q18" s="1">
        <v>7065</v>
      </c>
      <c r="R18" s="1">
        <v>6399</v>
      </c>
    </row>
    <row r="19" spans="1:18" x14ac:dyDescent="0.3">
      <c r="A19" s="43"/>
      <c r="C19" t="s">
        <v>71</v>
      </c>
      <c r="D19" s="1">
        <v>294</v>
      </c>
      <c r="E19" s="1">
        <v>383</v>
      </c>
      <c r="F19" s="1">
        <v>527</v>
      </c>
      <c r="G19" s="1">
        <v>528</v>
      </c>
      <c r="H19" s="1">
        <v>556</v>
      </c>
      <c r="I19" s="1">
        <v>519</v>
      </c>
      <c r="J19" s="1">
        <v>478</v>
      </c>
      <c r="K19" s="1">
        <v>557</v>
      </c>
      <c r="L19" s="1">
        <v>714</v>
      </c>
      <c r="M19" s="1">
        <v>707</v>
      </c>
      <c r="N19" s="1">
        <v>553</v>
      </c>
      <c r="O19" s="1">
        <v>695</v>
      </c>
      <c r="P19" s="1">
        <v>730</v>
      </c>
      <c r="Q19" s="1">
        <v>762</v>
      </c>
      <c r="R19" s="1">
        <v>584</v>
      </c>
    </row>
    <row r="20" spans="1:18" x14ac:dyDescent="0.3">
      <c r="A20" s="43"/>
      <c r="C20" t="s">
        <v>72</v>
      </c>
      <c r="D20" s="1">
        <v>3159</v>
      </c>
      <c r="E20" s="1">
        <v>3403</v>
      </c>
      <c r="F20" s="1">
        <v>3451</v>
      </c>
      <c r="G20" s="1">
        <v>3807</v>
      </c>
      <c r="H20" s="1">
        <v>4301</v>
      </c>
      <c r="I20" s="1">
        <v>4546</v>
      </c>
      <c r="J20" s="1">
        <v>4524</v>
      </c>
      <c r="K20" s="1">
        <v>4826</v>
      </c>
      <c r="L20" s="1">
        <v>4842</v>
      </c>
      <c r="M20" s="1">
        <v>4574</v>
      </c>
      <c r="N20" s="1">
        <v>4641</v>
      </c>
      <c r="O20" s="1">
        <v>5127</v>
      </c>
      <c r="P20" s="1">
        <v>4845</v>
      </c>
      <c r="Q20" s="1">
        <v>4558</v>
      </c>
      <c r="R20" s="1">
        <v>4402</v>
      </c>
    </row>
    <row r="21" spans="1:18" x14ac:dyDescent="0.3">
      <c r="A21" s="43"/>
      <c r="B21" s="8"/>
      <c r="C21" s="9" t="s">
        <v>97</v>
      </c>
      <c r="D21" s="10">
        <f>SUM(D13:D20)</f>
        <v>100831</v>
      </c>
      <c r="E21" s="10">
        <f t="shared" ref="E21" si="3">SUM(E13:E20)</f>
        <v>94946</v>
      </c>
      <c r="F21" s="10">
        <f t="shared" ref="F21" si="4">SUM(F13:F20)</f>
        <v>89632</v>
      </c>
      <c r="G21" s="10">
        <f>SUM(G13:G20)</f>
        <v>99149</v>
      </c>
      <c r="H21" s="10">
        <f t="shared" ref="H21:K21" si="5">SUM(H13:H20)</f>
        <v>123414</v>
      </c>
      <c r="I21" s="10">
        <f>SUM(I13:I20)</f>
        <v>98595</v>
      </c>
      <c r="J21" s="10">
        <f t="shared" si="5"/>
        <v>94375</v>
      </c>
      <c r="K21" s="10">
        <f t="shared" si="5"/>
        <v>88420</v>
      </c>
      <c r="L21" s="10">
        <f>SUM(L13:L20)</f>
        <v>98446</v>
      </c>
      <c r="M21" s="10">
        <f t="shared" ref="M21" si="6">SUM(M13:M20)</f>
        <v>81383</v>
      </c>
      <c r="N21" s="10">
        <f>SUM(N13:N20)</f>
        <v>95455</v>
      </c>
      <c r="O21" s="10">
        <f>SUM(O13:O20)</f>
        <v>92799</v>
      </c>
      <c r="P21" s="10">
        <f t="shared" ref="P21:R21" si="7">SUM(P13:P20)</f>
        <v>96180</v>
      </c>
      <c r="Q21" s="10">
        <f t="shared" si="7"/>
        <v>96457</v>
      </c>
      <c r="R21" s="10">
        <f t="shared" si="7"/>
        <v>96104</v>
      </c>
    </row>
    <row r="22" spans="1:18" ht="15" thickBot="1" x14ac:dyDescent="0.35">
      <c r="A22" s="44"/>
      <c r="B22" s="5" t="s">
        <v>99</v>
      </c>
      <c r="C22" s="6" t="s">
        <v>100</v>
      </c>
      <c r="D22" s="7">
        <f>SUM(D21,D12,D11)</f>
        <v>399665</v>
      </c>
      <c r="E22" s="7">
        <f t="shared" ref="E22" si="8">SUM(E21,E12,E11)</f>
        <v>387313</v>
      </c>
      <c r="F22" s="7">
        <f>SUM(F21,F12,F11)</f>
        <v>378212</v>
      </c>
      <c r="G22" s="7">
        <f>SUM(G21,G12,G11)</f>
        <v>396087</v>
      </c>
      <c r="H22" s="7">
        <f>SUM(H21,H12,H11)</f>
        <v>438818</v>
      </c>
      <c r="I22" s="7">
        <f t="shared" ref="I22:M22" si="9">SUM(I21,I12,I11)</f>
        <v>398271</v>
      </c>
      <c r="J22" s="7">
        <f t="shared" si="9"/>
        <v>403773</v>
      </c>
      <c r="K22" s="7">
        <f t="shared" si="9"/>
        <v>382037</v>
      </c>
      <c r="L22" s="7">
        <f t="shared" si="9"/>
        <v>397973</v>
      </c>
      <c r="M22" s="7">
        <f t="shared" si="9"/>
        <v>384278</v>
      </c>
      <c r="N22" s="7">
        <f t="shared" ref="N22:O22" si="10">SUM(N21,N12,N11)</f>
        <v>450962</v>
      </c>
      <c r="O22" s="7">
        <f t="shared" si="10"/>
        <v>408288</v>
      </c>
      <c r="P22" s="7">
        <f t="shared" ref="P22" si="11">SUM(P21,P12,P11)</f>
        <v>401103</v>
      </c>
      <c r="Q22" s="7">
        <f>SUM(Q21,Q12,Q11)</f>
        <v>403088</v>
      </c>
      <c r="R22" s="7">
        <f>SUM(R21,R12,R11)</f>
        <v>408145</v>
      </c>
    </row>
    <row r="23" spans="1:18" x14ac:dyDescent="0.3">
      <c r="A23" s="42" t="s">
        <v>2</v>
      </c>
      <c r="B23" t="s">
        <v>6</v>
      </c>
      <c r="C23" t="s">
        <v>7</v>
      </c>
      <c r="D23" s="1">
        <v>21288</v>
      </c>
      <c r="E23" s="1">
        <v>21135</v>
      </c>
      <c r="F23" s="1">
        <v>21148</v>
      </c>
      <c r="G23" s="1">
        <v>22558</v>
      </c>
      <c r="H23" s="1">
        <v>24665</v>
      </c>
      <c r="I23" s="1">
        <v>25611</v>
      </c>
      <c r="J23" s="1">
        <v>27742</v>
      </c>
      <c r="K23" s="1">
        <v>26036</v>
      </c>
      <c r="L23" s="1">
        <v>25713</v>
      </c>
      <c r="M23" s="1">
        <v>26638</v>
      </c>
      <c r="N23" s="1">
        <v>22829</v>
      </c>
      <c r="O23" s="1">
        <v>21872</v>
      </c>
      <c r="P23" s="1">
        <v>25568</v>
      </c>
      <c r="Q23" s="1">
        <v>25469</v>
      </c>
      <c r="R23" s="1">
        <v>24849</v>
      </c>
    </row>
    <row r="24" spans="1:18" x14ac:dyDescent="0.3">
      <c r="A24" s="43"/>
      <c r="C24" t="s">
        <v>22</v>
      </c>
      <c r="D24" s="1">
        <v>25467</v>
      </c>
      <c r="E24" s="1">
        <v>25950</v>
      </c>
      <c r="F24" s="1">
        <v>26102</v>
      </c>
      <c r="G24" s="1">
        <v>27771</v>
      </c>
      <c r="H24" s="1">
        <v>29257</v>
      </c>
      <c r="I24" s="1">
        <v>29645</v>
      </c>
      <c r="J24" s="1">
        <v>30618</v>
      </c>
      <c r="K24" s="1">
        <v>28287</v>
      </c>
      <c r="L24" s="1">
        <v>28621</v>
      </c>
      <c r="M24" s="1">
        <v>28846</v>
      </c>
      <c r="N24" s="1">
        <v>15731</v>
      </c>
      <c r="O24" s="1">
        <v>15064</v>
      </c>
      <c r="P24" s="1">
        <v>22170</v>
      </c>
      <c r="Q24" s="1">
        <v>23986</v>
      </c>
      <c r="R24" s="1">
        <v>24081</v>
      </c>
    </row>
    <row r="25" spans="1:18" x14ac:dyDescent="0.3">
      <c r="A25" s="43"/>
      <c r="C25" t="s">
        <v>24</v>
      </c>
      <c r="D25" s="1">
        <v>0</v>
      </c>
      <c r="E25" s="1">
        <v>0</v>
      </c>
      <c r="F25" s="1">
        <v>1</v>
      </c>
      <c r="G25" s="1">
        <v>9</v>
      </c>
      <c r="H25" s="1">
        <v>0</v>
      </c>
      <c r="I25" s="1">
        <v>0</v>
      </c>
      <c r="J25" s="1">
        <v>2</v>
      </c>
      <c r="K25" s="1">
        <v>4</v>
      </c>
      <c r="L25" s="1">
        <v>3</v>
      </c>
      <c r="M25" s="1">
        <v>1</v>
      </c>
      <c r="N25" s="1">
        <v>0</v>
      </c>
      <c r="O25" s="1">
        <v>7</v>
      </c>
      <c r="P25" s="1">
        <v>1</v>
      </c>
      <c r="Q25" s="1">
        <v>4</v>
      </c>
      <c r="R25" s="1">
        <v>1</v>
      </c>
    </row>
    <row r="26" spans="1:18" x14ac:dyDescent="0.3">
      <c r="A26" s="43"/>
      <c r="C26" t="s">
        <v>57</v>
      </c>
      <c r="D26" s="1">
        <v>13840</v>
      </c>
      <c r="E26" s="1">
        <v>14693</v>
      </c>
      <c r="F26" s="1">
        <v>14367</v>
      </c>
      <c r="G26" s="1">
        <v>14852</v>
      </c>
      <c r="H26" s="1">
        <v>16103</v>
      </c>
      <c r="I26" s="1">
        <v>16669</v>
      </c>
      <c r="J26" s="1">
        <v>18043</v>
      </c>
      <c r="K26" s="1">
        <v>18185</v>
      </c>
      <c r="L26" s="1">
        <v>18888</v>
      </c>
      <c r="M26" s="1">
        <v>18692</v>
      </c>
      <c r="N26" s="1">
        <v>7740</v>
      </c>
      <c r="O26" s="1">
        <v>9097</v>
      </c>
      <c r="P26" s="40">
        <v>14535</v>
      </c>
      <c r="Q26" s="40">
        <v>23986</v>
      </c>
      <c r="R26" s="1">
        <v>18132</v>
      </c>
    </row>
    <row r="27" spans="1:18" x14ac:dyDescent="0.3">
      <c r="A27" s="43"/>
      <c r="B27" s="8"/>
      <c r="C27" s="9" t="s">
        <v>98</v>
      </c>
      <c r="D27" s="10">
        <f>SUM(D23:D26)</f>
        <v>60595</v>
      </c>
      <c r="E27" s="10">
        <f t="shared" ref="E27:R27" si="12">SUM(E23:E26)</f>
        <v>61778</v>
      </c>
      <c r="F27" s="10">
        <f t="shared" si="12"/>
        <v>61618</v>
      </c>
      <c r="G27" s="10">
        <f t="shared" si="12"/>
        <v>65190</v>
      </c>
      <c r="H27" s="10">
        <f t="shared" si="12"/>
        <v>70025</v>
      </c>
      <c r="I27" s="10">
        <f t="shared" si="12"/>
        <v>71925</v>
      </c>
      <c r="J27" s="10">
        <f t="shared" si="12"/>
        <v>76405</v>
      </c>
      <c r="K27" s="10">
        <f t="shared" si="12"/>
        <v>72512</v>
      </c>
      <c r="L27" s="10">
        <f t="shared" si="12"/>
        <v>73225</v>
      </c>
      <c r="M27" s="10">
        <f t="shared" si="12"/>
        <v>74177</v>
      </c>
      <c r="N27" s="10">
        <f t="shared" si="12"/>
        <v>46300</v>
      </c>
      <c r="O27" s="10">
        <f t="shared" si="12"/>
        <v>46040</v>
      </c>
      <c r="P27" s="10">
        <f t="shared" si="12"/>
        <v>62274</v>
      </c>
      <c r="Q27" s="10">
        <f t="shared" si="12"/>
        <v>73445</v>
      </c>
      <c r="R27" s="10">
        <f t="shared" si="12"/>
        <v>67063</v>
      </c>
    </row>
    <row r="28" spans="1:18" x14ac:dyDescent="0.3">
      <c r="A28" s="43"/>
      <c r="B28" t="s">
        <v>106</v>
      </c>
      <c r="C28" t="s">
        <v>4</v>
      </c>
      <c r="D28" s="1">
        <v>0</v>
      </c>
      <c r="E28" s="1">
        <v>0</v>
      </c>
      <c r="F28" s="1">
        <v>2</v>
      </c>
      <c r="G28" s="1">
        <v>0</v>
      </c>
      <c r="H28" s="1">
        <v>0</v>
      </c>
      <c r="I28" s="1">
        <v>3</v>
      </c>
      <c r="J28" s="1">
        <v>4</v>
      </c>
      <c r="K28" s="1">
        <v>15</v>
      </c>
      <c r="L28" s="1">
        <v>0</v>
      </c>
      <c r="M28" s="1">
        <v>5</v>
      </c>
      <c r="N28" s="1">
        <v>0</v>
      </c>
      <c r="O28" s="1">
        <v>6</v>
      </c>
      <c r="P28" s="1">
        <v>18</v>
      </c>
      <c r="Q28" s="1">
        <v>10</v>
      </c>
      <c r="R28" s="1">
        <v>2</v>
      </c>
    </row>
    <row r="29" spans="1:18" x14ac:dyDescent="0.3">
      <c r="A29" s="43"/>
      <c r="C29" t="s">
        <v>5</v>
      </c>
      <c r="D29" s="1">
        <v>16</v>
      </c>
      <c r="E29" s="1">
        <v>72</v>
      </c>
      <c r="F29" s="1">
        <v>95</v>
      </c>
      <c r="G29" s="1">
        <v>120</v>
      </c>
      <c r="H29" s="1">
        <v>177</v>
      </c>
      <c r="I29" s="1">
        <v>138</v>
      </c>
      <c r="J29" s="1">
        <v>205</v>
      </c>
      <c r="K29" s="1">
        <v>132</v>
      </c>
      <c r="L29" s="1">
        <v>221</v>
      </c>
      <c r="M29" s="1">
        <v>101</v>
      </c>
      <c r="N29" s="1">
        <v>11</v>
      </c>
      <c r="O29" s="1">
        <v>153</v>
      </c>
      <c r="P29" s="1">
        <v>167</v>
      </c>
      <c r="Q29" s="1">
        <v>166</v>
      </c>
      <c r="R29" s="1">
        <v>76</v>
      </c>
    </row>
    <row r="30" spans="1:18" x14ac:dyDescent="0.3">
      <c r="A30" s="43"/>
      <c r="C30" t="s">
        <v>10</v>
      </c>
      <c r="D30" s="1">
        <v>1595</v>
      </c>
      <c r="E30" s="1">
        <v>1899</v>
      </c>
      <c r="F30" s="1">
        <v>1803</v>
      </c>
      <c r="G30" s="1">
        <v>1885</v>
      </c>
      <c r="H30" s="1">
        <v>1840</v>
      </c>
      <c r="I30" s="1">
        <v>2039</v>
      </c>
      <c r="J30" s="1">
        <v>2133</v>
      </c>
      <c r="K30" s="1">
        <v>2188</v>
      </c>
      <c r="L30" s="1">
        <v>2110</v>
      </c>
      <c r="M30" s="1">
        <v>2053</v>
      </c>
      <c r="N30" s="1">
        <v>338</v>
      </c>
      <c r="O30" s="1">
        <v>1112</v>
      </c>
      <c r="P30" s="1">
        <v>1826</v>
      </c>
      <c r="Q30" s="1">
        <v>1726</v>
      </c>
      <c r="R30" s="1">
        <v>1967</v>
      </c>
    </row>
    <row r="31" spans="1:18" x14ac:dyDescent="0.3">
      <c r="A31" s="43"/>
      <c r="C31" t="s">
        <v>132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5</v>
      </c>
      <c r="Q31" s="1">
        <v>2</v>
      </c>
      <c r="R31" s="1">
        <v>0</v>
      </c>
    </row>
    <row r="32" spans="1:18" x14ac:dyDescent="0.3">
      <c r="A32" s="43"/>
      <c r="C32" t="s">
        <v>129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1</v>
      </c>
      <c r="P32" s="1">
        <v>0</v>
      </c>
      <c r="Q32" s="1">
        <v>0</v>
      </c>
      <c r="R32" s="1">
        <v>0</v>
      </c>
    </row>
    <row r="33" spans="1:18" x14ac:dyDescent="0.3">
      <c r="A33" s="43"/>
      <c r="C33" t="s">
        <v>11</v>
      </c>
      <c r="D33" s="1">
        <v>3972</v>
      </c>
      <c r="E33" s="1">
        <v>3638</v>
      </c>
      <c r="F33" s="1">
        <v>4013</v>
      </c>
      <c r="G33" s="1">
        <v>4057</v>
      </c>
      <c r="H33" s="1">
        <v>4553</v>
      </c>
      <c r="I33" s="1">
        <v>4637</v>
      </c>
      <c r="J33" s="1">
        <v>5421</v>
      </c>
      <c r="K33" s="1">
        <v>4226</v>
      </c>
      <c r="L33" s="1">
        <v>4987</v>
      </c>
      <c r="M33" s="1">
        <v>4251</v>
      </c>
      <c r="N33" s="1">
        <v>836</v>
      </c>
      <c r="O33" s="1">
        <v>1400</v>
      </c>
      <c r="P33" s="1">
        <v>2895</v>
      </c>
      <c r="Q33" s="1">
        <v>2683</v>
      </c>
      <c r="R33" s="1">
        <v>3347</v>
      </c>
    </row>
    <row r="34" spans="1:18" x14ac:dyDescent="0.3">
      <c r="A34" s="43"/>
      <c r="C34" t="s">
        <v>12</v>
      </c>
      <c r="D34" s="1">
        <v>548</v>
      </c>
      <c r="E34" s="1">
        <v>466</v>
      </c>
      <c r="F34" s="1">
        <v>443</v>
      </c>
      <c r="G34" s="1">
        <v>614</v>
      </c>
      <c r="H34" s="1">
        <v>781</v>
      </c>
      <c r="I34" s="1">
        <v>990</v>
      </c>
      <c r="J34" s="1">
        <v>1108</v>
      </c>
      <c r="K34" s="1">
        <v>993</v>
      </c>
      <c r="L34" s="1">
        <v>1146</v>
      </c>
      <c r="M34" s="1">
        <v>1013</v>
      </c>
      <c r="N34" s="1">
        <v>628</v>
      </c>
      <c r="O34" s="1">
        <v>693</v>
      </c>
      <c r="P34" s="1">
        <v>1076</v>
      </c>
      <c r="Q34" s="1">
        <v>1321</v>
      </c>
      <c r="R34" s="1">
        <v>1177</v>
      </c>
    </row>
    <row r="35" spans="1:18" x14ac:dyDescent="0.3">
      <c r="A35" s="43"/>
      <c r="C35" t="s">
        <v>13</v>
      </c>
      <c r="D35" s="1">
        <v>204</v>
      </c>
      <c r="E35" s="1">
        <v>248</v>
      </c>
      <c r="F35" s="1">
        <v>263</v>
      </c>
      <c r="G35" s="1">
        <v>305</v>
      </c>
      <c r="H35" s="1">
        <v>435</v>
      </c>
      <c r="I35" s="1">
        <v>545</v>
      </c>
      <c r="J35" s="1">
        <v>627</v>
      </c>
      <c r="K35" s="1">
        <v>490</v>
      </c>
      <c r="L35" s="1">
        <v>598</v>
      </c>
      <c r="M35" s="1">
        <v>450</v>
      </c>
      <c r="N35" s="1">
        <v>10</v>
      </c>
      <c r="O35" s="1">
        <v>59</v>
      </c>
      <c r="P35" s="1">
        <v>471</v>
      </c>
      <c r="Q35" s="1">
        <v>343</v>
      </c>
      <c r="R35" s="1">
        <v>456</v>
      </c>
    </row>
    <row r="36" spans="1:18" x14ac:dyDescent="0.3">
      <c r="A36" s="43"/>
      <c r="C36" t="s">
        <v>14</v>
      </c>
      <c r="D36" s="1">
        <v>4</v>
      </c>
      <c r="E36" s="1">
        <v>8</v>
      </c>
      <c r="F36" s="1">
        <v>6</v>
      </c>
      <c r="G36" s="1">
        <v>14</v>
      </c>
      <c r="H36" s="1">
        <v>0</v>
      </c>
      <c r="I36" s="1">
        <v>1</v>
      </c>
      <c r="J36" s="1">
        <v>6</v>
      </c>
      <c r="K36" s="1">
        <v>4</v>
      </c>
      <c r="L36" s="1">
        <v>8</v>
      </c>
      <c r="M36" s="1">
        <v>8</v>
      </c>
      <c r="N36" s="1">
        <v>0</v>
      </c>
      <c r="O36" s="1">
        <v>0</v>
      </c>
      <c r="P36" s="1">
        <v>12</v>
      </c>
      <c r="Q36" s="1">
        <v>24</v>
      </c>
      <c r="R36" s="1">
        <v>14</v>
      </c>
    </row>
    <row r="37" spans="1:18" x14ac:dyDescent="0.3">
      <c r="A37" s="43"/>
      <c r="C37" t="s">
        <v>15</v>
      </c>
      <c r="D37" s="1">
        <v>11</v>
      </c>
      <c r="E37" s="1">
        <v>174</v>
      </c>
      <c r="F37" s="1">
        <v>216</v>
      </c>
      <c r="G37" s="1">
        <v>206</v>
      </c>
      <c r="H37" s="1">
        <v>228</v>
      </c>
      <c r="I37" s="1">
        <v>197</v>
      </c>
      <c r="J37" s="1">
        <v>216</v>
      </c>
      <c r="K37" s="1">
        <v>176</v>
      </c>
      <c r="L37" s="1">
        <v>147</v>
      </c>
      <c r="M37" s="1">
        <v>101</v>
      </c>
      <c r="N37" s="1">
        <v>4</v>
      </c>
      <c r="O37" s="1">
        <v>80</v>
      </c>
      <c r="P37" s="1">
        <v>64</v>
      </c>
      <c r="Q37" s="1">
        <v>115</v>
      </c>
      <c r="R37" s="1">
        <v>184</v>
      </c>
    </row>
    <row r="38" spans="1:18" x14ac:dyDescent="0.3">
      <c r="A38" s="43"/>
      <c r="C38" t="s">
        <v>130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276</v>
      </c>
      <c r="P38" s="1">
        <v>375</v>
      </c>
      <c r="Q38" s="1">
        <v>354</v>
      </c>
      <c r="R38" s="1">
        <v>464</v>
      </c>
    </row>
    <row r="39" spans="1:18" x14ac:dyDescent="0.3">
      <c r="A39" s="43"/>
      <c r="C39" t="s">
        <v>16</v>
      </c>
      <c r="D39" s="1">
        <v>3</v>
      </c>
      <c r="E39" s="1">
        <v>21</v>
      </c>
      <c r="F39" s="1">
        <v>6</v>
      </c>
      <c r="G39" s="1">
        <v>8</v>
      </c>
      <c r="H39" s="1">
        <v>0</v>
      </c>
      <c r="I39" s="1">
        <v>0</v>
      </c>
      <c r="J39" s="1">
        <v>7</v>
      </c>
      <c r="K39" s="1">
        <v>20</v>
      </c>
      <c r="L39" s="1">
        <v>7</v>
      </c>
      <c r="M39" s="1">
        <v>7</v>
      </c>
      <c r="N39" s="1">
        <v>0</v>
      </c>
      <c r="O39" s="1">
        <v>18</v>
      </c>
      <c r="P39" s="1">
        <v>0</v>
      </c>
      <c r="Q39" s="1">
        <v>0</v>
      </c>
      <c r="R39" s="1">
        <v>1</v>
      </c>
    </row>
    <row r="40" spans="1:18" x14ac:dyDescent="0.3">
      <c r="A40" s="43"/>
      <c r="C40" t="s">
        <v>17</v>
      </c>
      <c r="D40" s="1">
        <v>48</v>
      </c>
      <c r="E40" s="1">
        <v>50</v>
      </c>
      <c r="F40" s="1">
        <v>41</v>
      </c>
      <c r="G40" s="1">
        <v>61</v>
      </c>
      <c r="H40" s="1">
        <v>62</v>
      </c>
      <c r="I40" s="1">
        <v>50</v>
      </c>
      <c r="J40" s="1">
        <v>104</v>
      </c>
      <c r="K40" s="1">
        <v>65</v>
      </c>
      <c r="L40" s="1">
        <v>140</v>
      </c>
      <c r="M40" s="1">
        <v>114</v>
      </c>
      <c r="N40" s="1">
        <v>45</v>
      </c>
      <c r="O40" s="1">
        <v>68</v>
      </c>
      <c r="P40" s="1">
        <v>126</v>
      </c>
      <c r="Q40" s="1">
        <v>94</v>
      </c>
      <c r="R40" s="1">
        <v>120</v>
      </c>
    </row>
    <row r="41" spans="1:18" x14ac:dyDescent="0.3">
      <c r="A41" s="43"/>
      <c r="C41" t="s">
        <v>18</v>
      </c>
      <c r="D41" s="1">
        <v>1059</v>
      </c>
      <c r="E41" s="1">
        <v>1597</v>
      </c>
      <c r="F41" s="1">
        <v>1854</v>
      </c>
      <c r="G41" s="1">
        <v>1987</v>
      </c>
      <c r="H41" s="1">
        <v>1751</v>
      </c>
      <c r="I41" s="1">
        <v>1806</v>
      </c>
      <c r="J41" s="1">
        <v>1897</v>
      </c>
      <c r="K41" s="1">
        <v>1879</v>
      </c>
      <c r="L41" s="1">
        <v>2025</v>
      </c>
      <c r="M41" s="1">
        <v>2077</v>
      </c>
      <c r="N41" s="1">
        <v>0</v>
      </c>
      <c r="O41" s="1">
        <v>824</v>
      </c>
      <c r="P41" s="1">
        <v>1937</v>
      </c>
      <c r="Q41" s="1">
        <v>1901</v>
      </c>
      <c r="R41" s="1">
        <v>1869</v>
      </c>
    </row>
    <row r="42" spans="1:18" x14ac:dyDescent="0.3">
      <c r="A42" s="43"/>
      <c r="C42" t="s">
        <v>19</v>
      </c>
      <c r="D42" s="1">
        <v>106</v>
      </c>
      <c r="E42" s="1">
        <v>90</v>
      </c>
      <c r="F42" s="1">
        <v>105</v>
      </c>
      <c r="G42" s="1">
        <v>105</v>
      </c>
      <c r="H42" s="1">
        <v>68</v>
      </c>
      <c r="I42" s="1">
        <v>76</v>
      </c>
      <c r="J42" s="1">
        <v>99</v>
      </c>
      <c r="K42" s="1">
        <v>88</v>
      </c>
      <c r="L42" s="1">
        <v>98</v>
      </c>
      <c r="M42" s="1">
        <v>61</v>
      </c>
      <c r="N42" s="1">
        <v>50</v>
      </c>
      <c r="O42" s="1">
        <v>63</v>
      </c>
      <c r="P42" s="1">
        <v>79</v>
      </c>
      <c r="Q42" s="1">
        <v>81</v>
      </c>
      <c r="R42" s="1">
        <v>124</v>
      </c>
    </row>
    <row r="43" spans="1:18" x14ac:dyDescent="0.3">
      <c r="A43" s="43"/>
      <c r="C43" t="s">
        <v>133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329</v>
      </c>
      <c r="Q43" s="1">
        <v>280</v>
      </c>
      <c r="R43" s="1">
        <v>384</v>
      </c>
    </row>
    <row r="44" spans="1:18" x14ac:dyDescent="0.3">
      <c r="A44" s="43"/>
      <c r="C44" t="s">
        <v>20</v>
      </c>
      <c r="D44" s="1">
        <v>48</v>
      </c>
      <c r="E44" s="1">
        <v>51</v>
      </c>
      <c r="F44" s="1">
        <v>30</v>
      </c>
      <c r="G44" s="1">
        <v>15</v>
      </c>
      <c r="H44" s="1">
        <v>42</v>
      </c>
      <c r="I44" s="1">
        <v>32</v>
      </c>
      <c r="J44" s="1">
        <v>46</v>
      </c>
      <c r="K44" s="1">
        <v>23</v>
      </c>
      <c r="L44" s="1">
        <v>8</v>
      </c>
      <c r="M44" s="1">
        <v>24</v>
      </c>
      <c r="N44" s="1">
        <v>0</v>
      </c>
      <c r="O44" s="1">
        <v>14</v>
      </c>
      <c r="P44" s="1">
        <v>24</v>
      </c>
      <c r="Q44" s="1">
        <v>36</v>
      </c>
      <c r="R44" s="1">
        <v>21</v>
      </c>
    </row>
    <row r="45" spans="1:18" x14ac:dyDescent="0.3">
      <c r="A45" s="43"/>
      <c r="C45" t="s">
        <v>127</v>
      </c>
      <c r="D45" s="1">
        <v>0</v>
      </c>
      <c r="E45" s="1">
        <v>3</v>
      </c>
      <c r="F45" s="1">
        <v>6</v>
      </c>
      <c r="G45" s="1">
        <v>2</v>
      </c>
      <c r="H45" s="1">
        <v>7</v>
      </c>
      <c r="I45" s="1">
        <v>3</v>
      </c>
      <c r="J45" s="1">
        <v>3</v>
      </c>
      <c r="K45" s="1">
        <v>3</v>
      </c>
      <c r="L45" s="1">
        <v>0</v>
      </c>
      <c r="M45" s="1">
        <v>1</v>
      </c>
      <c r="N45" s="1">
        <v>2</v>
      </c>
      <c r="O45" s="1">
        <v>6</v>
      </c>
      <c r="P45" s="1">
        <v>0</v>
      </c>
      <c r="Q45" s="1">
        <v>2</v>
      </c>
      <c r="R45" s="1">
        <v>1</v>
      </c>
    </row>
    <row r="46" spans="1:18" x14ac:dyDescent="0.3">
      <c r="A46" s="43"/>
      <c r="C46" t="s">
        <v>21</v>
      </c>
      <c r="D46" s="1">
        <v>60</v>
      </c>
      <c r="E46" s="1">
        <v>95</v>
      </c>
      <c r="F46" s="1">
        <v>76</v>
      </c>
      <c r="G46" s="1">
        <v>46</v>
      </c>
      <c r="H46" s="1">
        <v>151</v>
      </c>
      <c r="I46" s="1">
        <v>115</v>
      </c>
      <c r="J46" s="1">
        <v>142</v>
      </c>
      <c r="K46" s="1">
        <v>27</v>
      </c>
      <c r="L46" s="1">
        <v>24</v>
      </c>
      <c r="M46" s="1">
        <v>11</v>
      </c>
      <c r="N46" s="1">
        <v>18</v>
      </c>
      <c r="O46" s="1">
        <v>17</v>
      </c>
      <c r="P46" s="1">
        <v>25</v>
      </c>
      <c r="Q46" s="1">
        <v>14</v>
      </c>
      <c r="R46" s="1">
        <v>10</v>
      </c>
    </row>
    <row r="47" spans="1:18" x14ac:dyDescent="0.3">
      <c r="A47" s="43"/>
      <c r="C47" t="s">
        <v>23</v>
      </c>
      <c r="D47" s="1">
        <v>7950</v>
      </c>
      <c r="E47" s="1">
        <v>7822</v>
      </c>
      <c r="F47" s="1">
        <v>7677</v>
      </c>
      <c r="G47" s="1">
        <v>7154</v>
      </c>
      <c r="H47" s="1">
        <v>7625</v>
      </c>
      <c r="I47" s="1">
        <v>8664</v>
      </c>
      <c r="J47" s="1">
        <v>8659</v>
      </c>
      <c r="K47" s="1">
        <v>8702</v>
      </c>
      <c r="L47" s="1">
        <v>8866</v>
      </c>
      <c r="M47" s="1">
        <v>8547</v>
      </c>
      <c r="N47" s="1">
        <v>4195</v>
      </c>
      <c r="O47" s="1">
        <v>4885</v>
      </c>
      <c r="P47" s="1">
        <v>7101</v>
      </c>
      <c r="Q47" s="1">
        <v>9200</v>
      </c>
      <c r="R47" s="1">
        <v>9413</v>
      </c>
    </row>
    <row r="48" spans="1:18" x14ac:dyDescent="0.3">
      <c r="A48" s="43"/>
      <c r="C48" t="s">
        <v>25</v>
      </c>
      <c r="D48" s="1">
        <v>4</v>
      </c>
      <c r="E48" s="1">
        <v>1</v>
      </c>
      <c r="F48" s="1">
        <v>1</v>
      </c>
      <c r="G48" s="1">
        <v>13</v>
      </c>
      <c r="H48" s="1">
        <v>21</v>
      </c>
      <c r="I48" s="1">
        <v>12</v>
      </c>
      <c r="J48" s="1">
        <v>25</v>
      </c>
      <c r="K48" s="1">
        <v>9</v>
      </c>
      <c r="L48" s="1">
        <v>1</v>
      </c>
      <c r="M48" s="1">
        <v>2</v>
      </c>
      <c r="N48" s="1">
        <v>0</v>
      </c>
      <c r="O48" s="1">
        <v>5</v>
      </c>
      <c r="P48" s="1">
        <v>7</v>
      </c>
      <c r="Q48" s="1">
        <v>16</v>
      </c>
      <c r="R48" s="1">
        <v>3</v>
      </c>
    </row>
    <row r="49" spans="1:18" x14ac:dyDescent="0.3">
      <c r="A49" s="43"/>
      <c r="C49" t="s">
        <v>26</v>
      </c>
      <c r="D49" s="1">
        <v>27</v>
      </c>
      <c r="E49" s="1">
        <v>25</v>
      </c>
      <c r="F49" s="1">
        <v>24</v>
      </c>
      <c r="G49" s="1">
        <v>34</v>
      </c>
      <c r="H49" s="1">
        <v>35</v>
      </c>
      <c r="I49" s="1">
        <v>30</v>
      </c>
      <c r="J49" s="1">
        <v>32</v>
      </c>
      <c r="K49" s="1">
        <v>9</v>
      </c>
      <c r="L49" s="1">
        <v>6</v>
      </c>
      <c r="M49" s="1">
        <v>2</v>
      </c>
      <c r="N49" s="1">
        <v>10</v>
      </c>
      <c r="O49" s="1">
        <v>4</v>
      </c>
      <c r="P49" s="1">
        <v>16</v>
      </c>
      <c r="Q49" s="1">
        <v>17</v>
      </c>
      <c r="R49" s="1">
        <v>18</v>
      </c>
    </row>
    <row r="50" spans="1:18" x14ac:dyDescent="0.3">
      <c r="A50" s="43"/>
      <c r="C50" t="s">
        <v>27</v>
      </c>
      <c r="D50" s="1">
        <v>86</v>
      </c>
      <c r="E50" s="1">
        <v>132</v>
      </c>
      <c r="F50" s="1">
        <v>155</v>
      </c>
      <c r="G50" s="1">
        <v>132</v>
      </c>
      <c r="H50" s="1">
        <v>115</v>
      </c>
      <c r="I50" s="1">
        <v>39</v>
      </c>
      <c r="J50" s="1">
        <v>119</v>
      </c>
      <c r="K50" s="1">
        <v>72</v>
      </c>
      <c r="L50" s="1">
        <v>184</v>
      </c>
      <c r="M50" s="1">
        <v>170</v>
      </c>
      <c r="N50" s="1">
        <v>34</v>
      </c>
      <c r="O50" s="1">
        <v>119</v>
      </c>
      <c r="P50" s="1">
        <v>114</v>
      </c>
      <c r="Q50" s="1">
        <v>206</v>
      </c>
      <c r="R50" s="1">
        <v>163</v>
      </c>
    </row>
    <row r="51" spans="1:18" x14ac:dyDescent="0.3">
      <c r="A51" s="43"/>
      <c r="C51" t="s">
        <v>28</v>
      </c>
      <c r="D51" s="1">
        <v>0</v>
      </c>
      <c r="E51" s="1">
        <v>0</v>
      </c>
      <c r="F51" s="1">
        <v>6</v>
      </c>
      <c r="G51" s="1">
        <v>0</v>
      </c>
      <c r="H51" s="1">
        <v>1</v>
      </c>
      <c r="I51" s="1">
        <v>0</v>
      </c>
      <c r="J51" s="1">
        <v>36</v>
      </c>
      <c r="K51" s="1">
        <v>12</v>
      </c>
      <c r="L51" s="1">
        <v>6</v>
      </c>
      <c r="M51" s="1">
        <v>18</v>
      </c>
      <c r="N51" s="1">
        <v>0</v>
      </c>
      <c r="O51" s="1">
        <v>0</v>
      </c>
      <c r="P51" s="1">
        <v>24</v>
      </c>
      <c r="Q51" s="1">
        <v>16</v>
      </c>
      <c r="R51" s="1">
        <v>1</v>
      </c>
    </row>
    <row r="52" spans="1:18" x14ac:dyDescent="0.3">
      <c r="A52" s="43"/>
      <c r="C52" t="s">
        <v>29</v>
      </c>
      <c r="D52" s="1">
        <v>0</v>
      </c>
      <c r="E52" s="1">
        <v>62</v>
      </c>
      <c r="F52" s="1">
        <v>110</v>
      </c>
      <c r="G52" s="1">
        <v>226</v>
      </c>
      <c r="H52" s="1">
        <v>167</v>
      </c>
      <c r="I52" s="1">
        <v>217</v>
      </c>
      <c r="J52" s="1">
        <v>257</v>
      </c>
      <c r="K52" s="1">
        <v>256</v>
      </c>
      <c r="L52" s="1">
        <v>263</v>
      </c>
      <c r="M52" s="1">
        <v>206</v>
      </c>
      <c r="N52" s="1">
        <v>36</v>
      </c>
      <c r="O52" s="1">
        <v>163</v>
      </c>
      <c r="P52" s="1">
        <v>187</v>
      </c>
      <c r="Q52" s="1">
        <v>176</v>
      </c>
      <c r="R52" s="1">
        <v>188</v>
      </c>
    </row>
    <row r="53" spans="1:18" x14ac:dyDescent="0.3">
      <c r="A53" s="43"/>
      <c r="C53" t="s">
        <v>30</v>
      </c>
      <c r="D53" s="1">
        <v>0</v>
      </c>
      <c r="E53" s="1">
        <v>0</v>
      </c>
      <c r="F53" s="1">
        <v>0</v>
      </c>
      <c r="G53" s="1">
        <v>0</v>
      </c>
      <c r="H53" s="1">
        <v>4</v>
      </c>
      <c r="I53" s="1">
        <v>0</v>
      </c>
      <c r="J53" s="1">
        <v>1</v>
      </c>
      <c r="K53" s="1">
        <v>0</v>
      </c>
      <c r="L53" s="1">
        <v>0</v>
      </c>
      <c r="M53" s="1">
        <v>3</v>
      </c>
      <c r="N53" s="1">
        <v>0</v>
      </c>
      <c r="O53" s="1">
        <v>0</v>
      </c>
      <c r="P53" s="1">
        <v>0</v>
      </c>
      <c r="Q53" s="1">
        <v>8</v>
      </c>
      <c r="R53" s="1">
        <v>1</v>
      </c>
    </row>
    <row r="54" spans="1:18" x14ac:dyDescent="0.3">
      <c r="A54" s="43"/>
      <c r="C54" t="s">
        <v>31</v>
      </c>
      <c r="D54" s="1">
        <v>1</v>
      </c>
      <c r="E54" s="1">
        <v>37</v>
      </c>
      <c r="F54" s="1">
        <v>102</v>
      </c>
      <c r="G54" s="1">
        <v>57</v>
      </c>
      <c r="H54" s="1">
        <v>146</v>
      </c>
      <c r="I54" s="1">
        <v>70</v>
      </c>
      <c r="J54" s="1">
        <v>16</v>
      </c>
      <c r="K54" s="1">
        <v>51</v>
      </c>
      <c r="L54" s="1">
        <v>49</v>
      </c>
      <c r="M54" s="1">
        <v>30</v>
      </c>
      <c r="N54" s="1">
        <v>1</v>
      </c>
      <c r="O54" s="1">
        <v>6</v>
      </c>
      <c r="P54" s="1">
        <v>1</v>
      </c>
      <c r="Q54" s="1">
        <v>88</v>
      </c>
      <c r="R54" s="1">
        <v>42</v>
      </c>
    </row>
    <row r="55" spans="1:18" x14ac:dyDescent="0.3">
      <c r="A55" s="43"/>
      <c r="C55" t="s">
        <v>32</v>
      </c>
      <c r="D55" s="1">
        <v>2086</v>
      </c>
      <c r="E55" s="1">
        <v>2287</v>
      </c>
      <c r="F55" s="1">
        <v>1721</v>
      </c>
      <c r="G55" s="1">
        <v>1826</v>
      </c>
      <c r="H55" s="1">
        <v>1748</v>
      </c>
      <c r="I55" s="1">
        <v>2083</v>
      </c>
      <c r="J55" s="1">
        <v>2001</v>
      </c>
      <c r="K55" s="1">
        <v>1835</v>
      </c>
      <c r="L55" s="1">
        <v>1037</v>
      </c>
      <c r="M55" s="1">
        <v>1732</v>
      </c>
      <c r="N55" s="1">
        <v>154</v>
      </c>
      <c r="O55" s="1">
        <v>676</v>
      </c>
      <c r="P55" s="1">
        <v>1227</v>
      </c>
      <c r="Q55" s="1">
        <v>1175</v>
      </c>
      <c r="R55" s="1">
        <v>1605</v>
      </c>
    </row>
    <row r="56" spans="1:18" x14ac:dyDescent="0.3">
      <c r="A56" s="43"/>
      <c r="C56" t="s">
        <v>33</v>
      </c>
      <c r="D56" s="1">
        <v>0</v>
      </c>
      <c r="E56" s="1">
        <v>0</v>
      </c>
      <c r="F56" s="1">
        <v>1</v>
      </c>
      <c r="G56" s="1">
        <v>0</v>
      </c>
      <c r="H56" s="1">
        <v>0</v>
      </c>
      <c r="I56" s="1">
        <v>2</v>
      </c>
      <c r="J56" s="1">
        <v>1</v>
      </c>
      <c r="K56" s="1">
        <v>0</v>
      </c>
      <c r="L56" s="1">
        <v>0</v>
      </c>
      <c r="M56" s="1">
        <v>3</v>
      </c>
      <c r="N56" s="1">
        <v>0</v>
      </c>
      <c r="O56" s="1">
        <v>0</v>
      </c>
      <c r="P56" s="1">
        <v>0</v>
      </c>
      <c r="Q56" s="1">
        <v>4</v>
      </c>
      <c r="R56" s="1">
        <v>0</v>
      </c>
    </row>
    <row r="57" spans="1:18" x14ac:dyDescent="0.3">
      <c r="A57" s="43"/>
      <c r="C57" t="s">
        <v>34</v>
      </c>
      <c r="D57" s="1">
        <v>0</v>
      </c>
      <c r="E57" s="1">
        <v>1</v>
      </c>
      <c r="F57" s="1">
        <v>0</v>
      </c>
      <c r="G57" s="1">
        <v>1</v>
      </c>
      <c r="H57" s="1">
        <v>1</v>
      </c>
      <c r="I57" s="1">
        <v>0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3">
      <c r="A58" s="43"/>
      <c r="C58" t="s">
        <v>35</v>
      </c>
      <c r="D58" s="1">
        <v>5</v>
      </c>
      <c r="E58" s="1">
        <v>10</v>
      </c>
      <c r="F58" s="1">
        <v>8</v>
      </c>
      <c r="G58" s="1">
        <v>13</v>
      </c>
      <c r="H58" s="1">
        <v>6</v>
      </c>
      <c r="I58" s="1">
        <v>9</v>
      </c>
      <c r="J58" s="1">
        <v>15</v>
      </c>
      <c r="K58" s="1">
        <v>13</v>
      </c>
      <c r="L58" s="1">
        <v>7</v>
      </c>
      <c r="M58" s="1">
        <v>0</v>
      </c>
      <c r="N58" s="1">
        <v>1</v>
      </c>
      <c r="O58" s="1">
        <v>1</v>
      </c>
      <c r="P58" s="1">
        <v>2</v>
      </c>
      <c r="Q58" s="1">
        <v>0</v>
      </c>
      <c r="R58" s="1">
        <v>4</v>
      </c>
    </row>
    <row r="59" spans="1:18" x14ac:dyDescent="0.3">
      <c r="A59" s="43"/>
      <c r="C59" t="s">
        <v>36</v>
      </c>
      <c r="D59" s="1">
        <v>267</v>
      </c>
      <c r="E59" s="1">
        <v>333</v>
      </c>
      <c r="F59" s="1">
        <v>352</v>
      </c>
      <c r="G59" s="1">
        <v>215</v>
      </c>
      <c r="H59" s="1">
        <v>417</v>
      </c>
      <c r="I59" s="1">
        <v>298</v>
      </c>
      <c r="J59" s="1">
        <v>321</v>
      </c>
      <c r="K59" s="1">
        <v>241</v>
      </c>
      <c r="L59" s="1">
        <v>242</v>
      </c>
      <c r="M59" s="1">
        <v>360</v>
      </c>
      <c r="N59" s="1">
        <v>18</v>
      </c>
      <c r="O59" s="1">
        <v>57</v>
      </c>
      <c r="P59" s="1">
        <v>0</v>
      </c>
      <c r="Q59" s="1">
        <v>198</v>
      </c>
      <c r="R59" s="1">
        <v>118</v>
      </c>
    </row>
    <row r="60" spans="1:18" x14ac:dyDescent="0.3">
      <c r="A60" s="43"/>
      <c r="C60" t="s">
        <v>37</v>
      </c>
      <c r="D60" s="1">
        <v>29</v>
      </c>
      <c r="E60" s="1">
        <v>40</v>
      </c>
      <c r="F60" s="1">
        <v>505</v>
      </c>
      <c r="G60" s="1">
        <v>506</v>
      </c>
      <c r="H60" s="1">
        <v>466</v>
      </c>
      <c r="I60" s="1">
        <v>499</v>
      </c>
      <c r="J60" s="1">
        <v>710</v>
      </c>
      <c r="K60" s="1">
        <v>559</v>
      </c>
      <c r="L60" s="1">
        <v>694</v>
      </c>
      <c r="M60" s="1">
        <v>536</v>
      </c>
      <c r="N60" s="1">
        <v>80</v>
      </c>
      <c r="O60" s="1">
        <v>84</v>
      </c>
      <c r="P60" s="1">
        <v>380</v>
      </c>
      <c r="Q60" s="1">
        <v>415</v>
      </c>
      <c r="R60" s="1">
        <v>487</v>
      </c>
    </row>
    <row r="61" spans="1:18" x14ac:dyDescent="0.3">
      <c r="A61" s="43"/>
      <c r="C61" t="s">
        <v>38</v>
      </c>
      <c r="D61" s="1">
        <v>529</v>
      </c>
      <c r="E61" s="1">
        <v>285</v>
      </c>
      <c r="F61" s="1">
        <v>188</v>
      </c>
      <c r="G61" s="1">
        <v>231</v>
      </c>
      <c r="H61" s="1">
        <v>185</v>
      </c>
      <c r="I61" s="1">
        <v>242</v>
      </c>
      <c r="J61" s="1">
        <v>258</v>
      </c>
      <c r="K61" s="1">
        <v>154</v>
      </c>
      <c r="L61" s="1">
        <v>5</v>
      </c>
      <c r="M61" s="1">
        <v>15</v>
      </c>
      <c r="N61" s="1">
        <v>8</v>
      </c>
      <c r="O61" s="1">
        <v>4</v>
      </c>
      <c r="P61" s="1">
        <v>6</v>
      </c>
      <c r="Q61" s="1">
        <v>9</v>
      </c>
      <c r="R61" s="1">
        <v>23</v>
      </c>
    </row>
    <row r="62" spans="1:18" x14ac:dyDescent="0.3">
      <c r="A62" s="43"/>
      <c r="C62" t="s">
        <v>39</v>
      </c>
      <c r="D62" s="1">
        <v>0</v>
      </c>
      <c r="E62" s="1">
        <v>0</v>
      </c>
      <c r="F62" s="1">
        <v>2</v>
      </c>
      <c r="G62" s="1">
        <v>5</v>
      </c>
      <c r="H62" s="1">
        <v>1</v>
      </c>
      <c r="I62" s="1">
        <v>2</v>
      </c>
      <c r="J62" s="1">
        <v>5</v>
      </c>
      <c r="K62" s="1">
        <v>11</v>
      </c>
      <c r="L62" s="1">
        <v>0</v>
      </c>
      <c r="M62" s="1">
        <v>4</v>
      </c>
      <c r="N62" s="1">
        <v>0</v>
      </c>
      <c r="O62" s="1">
        <v>1</v>
      </c>
      <c r="P62" s="1">
        <v>13</v>
      </c>
      <c r="Q62" s="1">
        <v>11</v>
      </c>
      <c r="R62" s="1">
        <v>2</v>
      </c>
    </row>
    <row r="63" spans="1:18" x14ac:dyDescent="0.3">
      <c r="A63" s="43"/>
      <c r="C63" t="s">
        <v>40</v>
      </c>
      <c r="D63" s="1">
        <v>2</v>
      </c>
      <c r="E63" s="1">
        <v>3</v>
      </c>
      <c r="F63" s="1">
        <v>0</v>
      </c>
      <c r="G63" s="1">
        <v>0</v>
      </c>
      <c r="H63" s="1">
        <v>0</v>
      </c>
      <c r="I63" s="1">
        <v>0</v>
      </c>
      <c r="J63" s="1">
        <v>4</v>
      </c>
      <c r="K63" s="1">
        <v>5</v>
      </c>
      <c r="L63" s="1">
        <v>2</v>
      </c>
      <c r="M63" s="1">
        <v>1</v>
      </c>
      <c r="N63" s="1">
        <v>0</v>
      </c>
      <c r="O63" s="1">
        <v>0</v>
      </c>
      <c r="P63" s="1">
        <v>0</v>
      </c>
      <c r="Q63" s="1">
        <v>0</v>
      </c>
      <c r="R63" s="1">
        <v>1</v>
      </c>
    </row>
    <row r="64" spans="1:18" x14ac:dyDescent="0.3">
      <c r="A64" s="43"/>
      <c r="C64" t="s">
        <v>41</v>
      </c>
      <c r="D64" s="1">
        <v>4</v>
      </c>
      <c r="E64" s="1">
        <v>12</v>
      </c>
      <c r="F64" s="1">
        <v>14</v>
      </c>
      <c r="G64" s="1">
        <v>13</v>
      </c>
      <c r="H64" s="1">
        <v>0</v>
      </c>
      <c r="I64" s="1">
        <v>3</v>
      </c>
      <c r="J64" s="1">
        <v>7</v>
      </c>
      <c r="K64" s="1">
        <v>11</v>
      </c>
      <c r="L64" s="1">
        <v>4</v>
      </c>
      <c r="M64" s="1">
        <v>1</v>
      </c>
      <c r="N64" s="1">
        <v>3</v>
      </c>
      <c r="O64" s="1">
        <v>0</v>
      </c>
      <c r="P64" s="1">
        <v>8</v>
      </c>
      <c r="Q64" s="1">
        <v>23</v>
      </c>
      <c r="R64" s="1">
        <v>16</v>
      </c>
    </row>
    <row r="65" spans="1:18" x14ac:dyDescent="0.3">
      <c r="A65" s="43"/>
      <c r="C65" t="s">
        <v>42</v>
      </c>
      <c r="D65" s="1">
        <v>0</v>
      </c>
      <c r="E65" s="1">
        <v>0</v>
      </c>
      <c r="F65" s="1">
        <v>1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2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</row>
    <row r="66" spans="1:18" x14ac:dyDescent="0.3">
      <c r="A66" s="43"/>
      <c r="C66" t="s">
        <v>43</v>
      </c>
      <c r="D66" s="1">
        <v>35</v>
      </c>
      <c r="E66" s="1">
        <v>72</v>
      </c>
      <c r="F66" s="1">
        <v>83</v>
      </c>
      <c r="G66" s="1">
        <v>74</v>
      </c>
      <c r="H66" s="1">
        <v>80</v>
      </c>
      <c r="I66" s="1">
        <v>85</v>
      </c>
      <c r="J66" s="1">
        <v>81</v>
      </c>
      <c r="K66" s="1">
        <v>111</v>
      </c>
      <c r="L66" s="1">
        <v>106</v>
      </c>
      <c r="M66" s="1">
        <v>109</v>
      </c>
      <c r="N66" s="1">
        <v>30</v>
      </c>
      <c r="O66" s="1">
        <v>96</v>
      </c>
      <c r="P66" s="1">
        <v>98</v>
      </c>
      <c r="Q66" s="1">
        <v>117</v>
      </c>
      <c r="R66" s="1">
        <v>85</v>
      </c>
    </row>
    <row r="67" spans="1:18" x14ac:dyDescent="0.3">
      <c r="A67" s="43"/>
      <c r="C67" t="s">
        <v>44</v>
      </c>
      <c r="D67" s="1">
        <v>66</v>
      </c>
      <c r="E67" s="1">
        <v>34</v>
      </c>
      <c r="F67" s="1">
        <v>85</v>
      </c>
      <c r="G67" s="1">
        <v>60</v>
      </c>
      <c r="H67" s="1">
        <v>108</v>
      </c>
      <c r="I67" s="1">
        <v>97</v>
      </c>
      <c r="J67" s="1">
        <v>124</v>
      </c>
      <c r="K67" s="1">
        <v>89</v>
      </c>
      <c r="L67" s="1">
        <v>137</v>
      </c>
      <c r="M67" s="1">
        <v>184</v>
      </c>
      <c r="N67" s="1">
        <v>233</v>
      </c>
      <c r="O67" s="1">
        <v>187</v>
      </c>
      <c r="P67" s="1">
        <v>228</v>
      </c>
      <c r="Q67" s="1">
        <v>222</v>
      </c>
      <c r="R67" s="1">
        <v>248</v>
      </c>
    </row>
    <row r="68" spans="1:18" x14ac:dyDescent="0.3">
      <c r="A68" s="43"/>
      <c r="C68" t="s">
        <v>47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2</v>
      </c>
      <c r="L68" s="1">
        <v>0</v>
      </c>
      <c r="M68" s="1">
        <v>0</v>
      </c>
      <c r="N68" s="1">
        <v>0</v>
      </c>
      <c r="O68" s="1">
        <v>0</v>
      </c>
      <c r="P68" s="1">
        <v>2</v>
      </c>
      <c r="Q68" s="1">
        <v>0</v>
      </c>
      <c r="R68" s="1">
        <v>0</v>
      </c>
    </row>
    <row r="69" spans="1:18" x14ac:dyDescent="0.3">
      <c r="A69" s="43"/>
      <c r="C69" t="s">
        <v>48</v>
      </c>
      <c r="D69" s="1">
        <v>75</v>
      </c>
      <c r="E69" s="1">
        <v>30</v>
      </c>
      <c r="F69" s="1">
        <v>31</v>
      </c>
      <c r="G69" s="1">
        <v>24</v>
      </c>
      <c r="H69" s="1">
        <v>23</v>
      </c>
      <c r="I69" s="1">
        <v>13</v>
      </c>
      <c r="J69" s="1">
        <v>11</v>
      </c>
      <c r="K69" s="1">
        <v>42</v>
      </c>
      <c r="L69" s="1">
        <v>23</v>
      </c>
      <c r="M69" s="1">
        <v>28</v>
      </c>
      <c r="N69" s="1">
        <v>19</v>
      </c>
      <c r="O69" s="1">
        <v>0</v>
      </c>
      <c r="P69" s="1">
        <v>19</v>
      </c>
      <c r="Q69" s="1">
        <v>32</v>
      </c>
      <c r="R69" s="1">
        <v>32</v>
      </c>
    </row>
    <row r="70" spans="1:18" x14ac:dyDescent="0.3">
      <c r="A70" s="43"/>
      <c r="C70" t="s">
        <v>49</v>
      </c>
      <c r="D70" s="1">
        <v>2</v>
      </c>
      <c r="E70" s="1">
        <v>0</v>
      </c>
      <c r="F70" s="1">
        <v>0</v>
      </c>
      <c r="G70" s="1">
        <v>2</v>
      </c>
      <c r="H70" s="1">
        <v>49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12</v>
      </c>
      <c r="Q70" s="1">
        <v>9</v>
      </c>
      <c r="R70" s="1">
        <v>1</v>
      </c>
    </row>
    <row r="71" spans="1:18" x14ac:dyDescent="0.3">
      <c r="A71" s="43"/>
      <c r="C71" t="s">
        <v>50</v>
      </c>
      <c r="D71" s="1">
        <v>16</v>
      </c>
      <c r="E71" s="1">
        <v>24</v>
      </c>
      <c r="F71" s="1">
        <v>30</v>
      </c>
      <c r="G71" s="1">
        <v>20</v>
      </c>
      <c r="H71" s="1">
        <v>29</v>
      </c>
      <c r="I71" s="1">
        <v>7</v>
      </c>
      <c r="J71" s="1">
        <v>17</v>
      </c>
      <c r="K71" s="1">
        <v>16</v>
      </c>
      <c r="L71" s="1">
        <v>3</v>
      </c>
      <c r="M71" s="1">
        <v>12</v>
      </c>
      <c r="N71" s="1">
        <v>0</v>
      </c>
      <c r="O71" s="1">
        <v>2</v>
      </c>
      <c r="P71" s="1">
        <v>1</v>
      </c>
      <c r="Q71" s="1">
        <v>1</v>
      </c>
      <c r="R71" s="1">
        <v>5</v>
      </c>
    </row>
    <row r="72" spans="1:18" x14ac:dyDescent="0.3">
      <c r="A72" s="43"/>
      <c r="C72" t="s">
        <v>51</v>
      </c>
      <c r="D72" s="1">
        <v>216</v>
      </c>
      <c r="E72" s="1">
        <v>191</v>
      </c>
      <c r="F72" s="1">
        <v>14</v>
      </c>
      <c r="G72" s="1">
        <v>13</v>
      </c>
      <c r="H72" s="1">
        <v>12</v>
      </c>
      <c r="I72" s="1">
        <v>13</v>
      </c>
      <c r="J72" s="1">
        <v>9</v>
      </c>
      <c r="K72" s="1">
        <v>6</v>
      </c>
      <c r="L72" s="1">
        <v>7</v>
      </c>
      <c r="M72" s="1">
        <v>12</v>
      </c>
      <c r="N72" s="1">
        <v>2</v>
      </c>
      <c r="O72" s="1">
        <v>3</v>
      </c>
      <c r="P72" s="1">
        <v>10</v>
      </c>
      <c r="Q72" s="1">
        <v>3</v>
      </c>
      <c r="R72" s="1">
        <v>5</v>
      </c>
    </row>
    <row r="73" spans="1:18" x14ac:dyDescent="0.3">
      <c r="A73" s="43"/>
      <c r="C73" t="s">
        <v>52</v>
      </c>
      <c r="D73" s="1">
        <v>1</v>
      </c>
      <c r="E73" s="1">
        <v>1</v>
      </c>
      <c r="F73" s="1">
        <v>54</v>
      </c>
      <c r="G73" s="1">
        <v>94</v>
      </c>
      <c r="H73" s="1">
        <v>59</v>
      </c>
      <c r="I73" s="1">
        <v>60</v>
      </c>
      <c r="J73" s="1">
        <v>41</v>
      </c>
      <c r="K73" s="1">
        <v>78</v>
      </c>
      <c r="L73" s="1">
        <v>19</v>
      </c>
      <c r="M73" s="1">
        <v>46</v>
      </c>
      <c r="N73" s="1">
        <v>11</v>
      </c>
      <c r="O73" s="1">
        <v>24</v>
      </c>
      <c r="P73" s="1">
        <v>91</v>
      </c>
      <c r="Q73" s="1">
        <v>66</v>
      </c>
      <c r="R73" s="1">
        <v>26</v>
      </c>
    </row>
    <row r="74" spans="1:18" x14ac:dyDescent="0.3">
      <c r="A74" s="43"/>
      <c r="C74" t="s">
        <v>53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110</v>
      </c>
      <c r="J74" s="1">
        <v>936</v>
      </c>
      <c r="K74" s="1">
        <v>959</v>
      </c>
      <c r="L74" s="1">
        <v>1010</v>
      </c>
      <c r="M74" s="1">
        <v>1015</v>
      </c>
      <c r="N74" s="1">
        <v>574</v>
      </c>
      <c r="O74" s="1">
        <v>753</v>
      </c>
      <c r="P74" s="1">
        <v>963</v>
      </c>
      <c r="Q74" s="1">
        <v>998</v>
      </c>
      <c r="R74" s="1">
        <v>995</v>
      </c>
    </row>
    <row r="75" spans="1:18" x14ac:dyDescent="0.3">
      <c r="A75" s="43"/>
      <c r="C75" t="s">
        <v>54</v>
      </c>
      <c r="D75" s="1">
        <v>1414</v>
      </c>
      <c r="E75" s="1">
        <v>1201</v>
      </c>
      <c r="F75" s="1">
        <v>1232</v>
      </c>
      <c r="G75" s="1">
        <v>1250</v>
      </c>
      <c r="H75" s="1">
        <v>1591</v>
      </c>
      <c r="I75" s="1">
        <v>1487</v>
      </c>
      <c r="J75" s="1">
        <v>1502</v>
      </c>
      <c r="K75" s="1">
        <v>1052</v>
      </c>
      <c r="L75" s="1">
        <v>1314</v>
      </c>
      <c r="M75" s="1">
        <v>1120</v>
      </c>
      <c r="N75" s="1">
        <v>243</v>
      </c>
      <c r="O75" s="1">
        <v>501</v>
      </c>
      <c r="P75" s="1">
        <v>866</v>
      </c>
      <c r="Q75" s="1">
        <v>702</v>
      </c>
      <c r="R75" s="1">
        <v>1172</v>
      </c>
    </row>
    <row r="76" spans="1:18" x14ac:dyDescent="0.3">
      <c r="A76" s="43"/>
      <c r="C76" t="s">
        <v>55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1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18</v>
      </c>
      <c r="Q76" s="1">
        <v>0</v>
      </c>
      <c r="R76" s="1">
        <v>0</v>
      </c>
    </row>
    <row r="77" spans="1:18" x14ac:dyDescent="0.3">
      <c r="A77" s="43"/>
      <c r="C77" t="s">
        <v>58</v>
      </c>
      <c r="D77" s="1">
        <v>3</v>
      </c>
      <c r="E77" s="1">
        <v>40</v>
      </c>
      <c r="F77" s="1">
        <v>0</v>
      </c>
      <c r="G77" s="1">
        <v>24</v>
      </c>
      <c r="H77" s="1">
        <v>0</v>
      </c>
      <c r="I77" s="1">
        <v>39</v>
      </c>
      <c r="J77" s="1">
        <v>0</v>
      </c>
      <c r="K77" s="1">
        <v>0</v>
      </c>
      <c r="L77" s="1">
        <v>2</v>
      </c>
      <c r="M77" s="1">
        <v>3</v>
      </c>
      <c r="N77" s="1">
        <v>0</v>
      </c>
      <c r="O77" s="1">
        <v>0</v>
      </c>
      <c r="P77" s="1">
        <v>5</v>
      </c>
      <c r="Q77" s="1">
        <v>8</v>
      </c>
      <c r="R77" s="1">
        <v>1</v>
      </c>
    </row>
    <row r="78" spans="1:18" x14ac:dyDescent="0.3">
      <c r="A78" s="43"/>
      <c r="C78" t="s">
        <v>59</v>
      </c>
      <c r="D78" s="1">
        <v>20</v>
      </c>
      <c r="E78" s="1">
        <v>53</v>
      </c>
      <c r="F78" s="1">
        <v>66</v>
      </c>
      <c r="G78" s="1">
        <v>128</v>
      </c>
      <c r="H78" s="1">
        <v>143</v>
      </c>
      <c r="I78" s="1">
        <v>177</v>
      </c>
      <c r="J78" s="1">
        <v>171</v>
      </c>
      <c r="K78" s="1">
        <v>249</v>
      </c>
      <c r="L78" s="1">
        <v>245</v>
      </c>
      <c r="M78" s="1">
        <v>230</v>
      </c>
      <c r="N78" s="1">
        <v>0</v>
      </c>
      <c r="O78" s="1">
        <v>211</v>
      </c>
      <c r="P78" s="1">
        <v>215</v>
      </c>
      <c r="Q78" s="1">
        <v>263</v>
      </c>
      <c r="R78" s="1">
        <v>264</v>
      </c>
    </row>
    <row r="79" spans="1:18" x14ac:dyDescent="0.3">
      <c r="A79" s="43"/>
      <c r="C79" t="s">
        <v>60</v>
      </c>
      <c r="D79" s="1">
        <v>360</v>
      </c>
      <c r="E79" s="1">
        <v>345</v>
      </c>
      <c r="F79" s="1">
        <v>218</v>
      </c>
      <c r="G79" s="1">
        <v>277</v>
      </c>
      <c r="H79" s="1">
        <v>287</v>
      </c>
      <c r="I79" s="1">
        <v>239</v>
      </c>
      <c r="J79" s="1">
        <v>230</v>
      </c>
      <c r="K79" s="1">
        <v>210</v>
      </c>
      <c r="L79" s="1">
        <v>276</v>
      </c>
      <c r="M79" s="1">
        <v>245</v>
      </c>
      <c r="N79" s="1">
        <v>0</v>
      </c>
      <c r="O79" s="1">
        <v>63</v>
      </c>
      <c r="P79" s="1">
        <v>146</v>
      </c>
      <c r="Q79" s="1">
        <v>86</v>
      </c>
      <c r="R79" s="1">
        <v>143</v>
      </c>
    </row>
    <row r="80" spans="1:18" x14ac:dyDescent="0.3">
      <c r="A80" s="43"/>
      <c r="C80" t="s">
        <v>61</v>
      </c>
      <c r="D80" s="1">
        <v>27</v>
      </c>
      <c r="E80" s="1">
        <v>93</v>
      </c>
      <c r="F80" s="1">
        <v>104</v>
      </c>
      <c r="G80" s="1">
        <v>268</v>
      </c>
      <c r="H80" s="1">
        <v>164</v>
      </c>
      <c r="I80" s="1">
        <v>162</v>
      </c>
      <c r="J80" s="1">
        <v>118</v>
      </c>
      <c r="K80" s="1">
        <v>140</v>
      </c>
      <c r="L80" s="1">
        <v>155</v>
      </c>
      <c r="M80" s="1">
        <v>199</v>
      </c>
      <c r="N80" s="1">
        <v>42</v>
      </c>
      <c r="O80" s="1">
        <v>189</v>
      </c>
      <c r="P80" s="1">
        <v>224</v>
      </c>
      <c r="Q80" s="1">
        <v>125</v>
      </c>
      <c r="R80" s="1">
        <v>62</v>
      </c>
    </row>
    <row r="81" spans="1:18" x14ac:dyDescent="0.3">
      <c r="A81" s="43"/>
      <c r="C81" t="s">
        <v>64</v>
      </c>
      <c r="D81" s="1">
        <v>2925</v>
      </c>
      <c r="E81" s="1">
        <v>2800</v>
      </c>
      <c r="F81" s="1">
        <v>2318</v>
      </c>
      <c r="G81" s="1">
        <v>3425</v>
      </c>
      <c r="H81" s="1">
        <v>3480</v>
      </c>
      <c r="I81" s="1">
        <v>3646</v>
      </c>
      <c r="J81" s="1">
        <v>3629</v>
      </c>
      <c r="K81" s="1">
        <v>3446</v>
      </c>
      <c r="L81" s="1">
        <v>2289</v>
      </c>
      <c r="M81" s="1">
        <v>2148</v>
      </c>
      <c r="N81" s="1">
        <v>237</v>
      </c>
      <c r="O81" s="1">
        <v>567</v>
      </c>
      <c r="P81" s="1">
        <v>1285</v>
      </c>
      <c r="Q81" s="1">
        <v>1282</v>
      </c>
      <c r="R81" s="1">
        <v>1389</v>
      </c>
    </row>
    <row r="82" spans="1:18" x14ac:dyDescent="0.3">
      <c r="A82" s="43"/>
      <c r="C82" t="s">
        <v>65</v>
      </c>
      <c r="D82" s="1">
        <v>1884</v>
      </c>
      <c r="E82" s="1">
        <v>1405</v>
      </c>
      <c r="F82" s="1">
        <v>1627</v>
      </c>
      <c r="G82" s="1">
        <v>1896</v>
      </c>
      <c r="H82" s="1">
        <v>1978</v>
      </c>
      <c r="I82" s="1">
        <v>2339</v>
      </c>
      <c r="J82" s="1">
        <v>2686</v>
      </c>
      <c r="K82" s="1">
        <v>2383</v>
      </c>
      <c r="L82" s="1">
        <v>3164</v>
      </c>
      <c r="M82" s="1">
        <v>1900</v>
      </c>
      <c r="N82" s="1">
        <v>215</v>
      </c>
      <c r="O82" s="1">
        <v>645</v>
      </c>
      <c r="P82" s="1">
        <v>1702</v>
      </c>
      <c r="Q82" s="1">
        <v>1852</v>
      </c>
      <c r="R82" s="1">
        <v>2048</v>
      </c>
    </row>
    <row r="83" spans="1:18" x14ac:dyDescent="0.3">
      <c r="A83" s="43"/>
      <c r="C83" t="s">
        <v>66</v>
      </c>
      <c r="D83" s="1">
        <v>276</v>
      </c>
      <c r="E83" s="1">
        <v>227</v>
      </c>
      <c r="F83" s="1">
        <v>229</v>
      </c>
      <c r="G83" s="1">
        <v>200</v>
      </c>
      <c r="H83" s="1">
        <v>243</v>
      </c>
      <c r="I83" s="1">
        <v>283</v>
      </c>
      <c r="J83" s="1">
        <v>212</v>
      </c>
      <c r="K83" s="1">
        <v>228</v>
      </c>
      <c r="L83" s="1">
        <v>263</v>
      </c>
      <c r="M83" s="1">
        <v>262</v>
      </c>
      <c r="N83" s="1">
        <v>194</v>
      </c>
      <c r="O83" s="1">
        <v>198</v>
      </c>
      <c r="P83" s="1">
        <v>236</v>
      </c>
      <c r="Q83" s="1">
        <v>260</v>
      </c>
      <c r="R83" s="1">
        <v>265</v>
      </c>
    </row>
    <row r="84" spans="1:18" x14ac:dyDescent="0.3">
      <c r="A84" s="43"/>
      <c r="C84" t="s">
        <v>67</v>
      </c>
      <c r="D84" s="1">
        <v>852</v>
      </c>
      <c r="E84" s="1">
        <v>783</v>
      </c>
      <c r="F84" s="1">
        <v>805</v>
      </c>
      <c r="G84" s="1">
        <v>900</v>
      </c>
      <c r="H84" s="1">
        <v>883</v>
      </c>
      <c r="I84" s="1">
        <v>864</v>
      </c>
      <c r="J84" s="1">
        <v>1195</v>
      </c>
      <c r="K84" s="1">
        <v>1075</v>
      </c>
      <c r="L84" s="1">
        <v>1141</v>
      </c>
      <c r="M84" s="1">
        <v>1253</v>
      </c>
      <c r="N84" s="1">
        <v>732</v>
      </c>
      <c r="O84" s="1">
        <v>654</v>
      </c>
      <c r="P84" s="1">
        <v>1029</v>
      </c>
      <c r="Q84" s="1">
        <v>959</v>
      </c>
      <c r="R84" s="1">
        <v>1281</v>
      </c>
    </row>
    <row r="85" spans="1:18" x14ac:dyDescent="0.3">
      <c r="A85" s="43"/>
      <c r="C85" t="s">
        <v>69</v>
      </c>
      <c r="D85" s="1">
        <v>198</v>
      </c>
      <c r="E85" s="1">
        <v>77</v>
      </c>
      <c r="F85" s="1">
        <v>113</v>
      </c>
      <c r="G85" s="1">
        <v>168</v>
      </c>
      <c r="H85" s="1">
        <v>149</v>
      </c>
      <c r="I85" s="1">
        <v>128</v>
      </c>
      <c r="J85" s="1">
        <v>166</v>
      </c>
      <c r="K85" s="1">
        <v>133</v>
      </c>
      <c r="L85" s="1">
        <v>95</v>
      </c>
      <c r="M85" s="1">
        <v>137</v>
      </c>
      <c r="N85" s="1">
        <v>44</v>
      </c>
      <c r="O85" s="1">
        <v>76</v>
      </c>
      <c r="P85" s="1">
        <v>114</v>
      </c>
      <c r="Q85" s="1">
        <v>101</v>
      </c>
      <c r="R85" s="1">
        <v>66</v>
      </c>
    </row>
    <row r="86" spans="1:18" x14ac:dyDescent="0.3">
      <c r="A86" s="43"/>
      <c r="C86" t="s">
        <v>73</v>
      </c>
      <c r="D86" s="1">
        <v>1</v>
      </c>
      <c r="E86" s="1">
        <v>0</v>
      </c>
      <c r="F86" s="1">
        <v>5</v>
      </c>
      <c r="G86" s="1">
        <v>6</v>
      </c>
      <c r="H86" s="1">
        <v>8</v>
      </c>
      <c r="I86" s="1">
        <v>6</v>
      </c>
      <c r="J86" s="1">
        <v>2</v>
      </c>
      <c r="K86" s="1">
        <v>6</v>
      </c>
      <c r="L86" s="1">
        <v>1</v>
      </c>
      <c r="M86" s="1">
        <v>8</v>
      </c>
      <c r="N86" s="1">
        <v>0</v>
      </c>
      <c r="O86" s="1">
        <v>2</v>
      </c>
      <c r="P86" s="1">
        <v>4</v>
      </c>
      <c r="Q86" s="1">
        <v>1</v>
      </c>
      <c r="R86" s="1">
        <v>0</v>
      </c>
    </row>
    <row r="87" spans="1:18" x14ac:dyDescent="0.3">
      <c r="A87" s="43"/>
      <c r="C87" t="s">
        <v>74</v>
      </c>
      <c r="D87" s="1">
        <v>0</v>
      </c>
      <c r="E87" s="1">
        <v>0</v>
      </c>
      <c r="F87" s="1">
        <v>0</v>
      </c>
      <c r="G87" s="1">
        <v>0</v>
      </c>
      <c r="H87" s="1">
        <v>1</v>
      </c>
      <c r="I87" s="1">
        <v>0</v>
      </c>
      <c r="J87" s="1">
        <v>1</v>
      </c>
      <c r="K87" s="1">
        <v>3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</v>
      </c>
    </row>
    <row r="88" spans="1:18" x14ac:dyDescent="0.3">
      <c r="A88" s="43"/>
      <c r="C88" t="s">
        <v>75</v>
      </c>
      <c r="D88" s="1">
        <v>127</v>
      </c>
      <c r="E88" s="1">
        <v>149</v>
      </c>
      <c r="F88" s="1">
        <v>50</v>
      </c>
      <c r="G88" s="1">
        <v>36</v>
      </c>
      <c r="H88" s="1">
        <v>45</v>
      </c>
      <c r="I88" s="1">
        <v>55</v>
      </c>
      <c r="J88" s="1">
        <v>121</v>
      </c>
      <c r="K88" s="1">
        <v>91</v>
      </c>
      <c r="L88" s="1">
        <v>18</v>
      </c>
      <c r="M88" s="1">
        <v>36</v>
      </c>
      <c r="N88" s="1">
        <v>5</v>
      </c>
      <c r="O88" s="1">
        <v>12</v>
      </c>
      <c r="P88" s="1">
        <v>21</v>
      </c>
      <c r="Q88" s="1">
        <v>8</v>
      </c>
      <c r="R88" s="1">
        <v>66</v>
      </c>
    </row>
    <row r="89" spans="1:18" x14ac:dyDescent="0.3">
      <c r="A89" s="43"/>
      <c r="C89" t="s">
        <v>76</v>
      </c>
      <c r="D89" s="1">
        <v>776</v>
      </c>
      <c r="E89" s="1">
        <v>918</v>
      </c>
      <c r="F89" s="1">
        <v>875</v>
      </c>
      <c r="G89" s="1">
        <v>873</v>
      </c>
      <c r="H89" s="1">
        <v>879</v>
      </c>
      <c r="I89" s="1">
        <v>891</v>
      </c>
      <c r="J89" s="1">
        <v>911</v>
      </c>
      <c r="K89" s="1">
        <v>951</v>
      </c>
      <c r="L89" s="1">
        <v>833</v>
      </c>
      <c r="M89" s="1">
        <v>845</v>
      </c>
      <c r="N89" s="1">
        <v>120</v>
      </c>
      <c r="O89" s="1">
        <v>509</v>
      </c>
      <c r="P89" s="1">
        <v>728</v>
      </c>
      <c r="Q89" s="1">
        <v>594</v>
      </c>
      <c r="R89" s="1">
        <v>648</v>
      </c>
    </row>
    <row r="90" spans="1:18" x14ac:dyDescent="0.3">
      <c r="A90" s="43"/>
      <c r="C90" t="s">
        <v>77</v>
      </c>
      <c r="D90" s="1">
        <v>0</v>
      </c>
      <c r="E90" s="1">
        <v>364</v>
      </c>
      <c r="F90" s="1">
        <v>448</v>
      </c>
      <c r="G90" s="1">
        <v>514</v>
      </c>
      <c r="H90" s="1">
        <v>524</v>
      </c>
      <c r="I90" s="1">
        <v>225</v>
      </c>
      <c r="J90" s="1">
        <v>224</v>
      </c>
      <c r="K90" s="1">
        <v>169</v>
      </c>
      <c r="L90" s="1">
        <v>0</v>
      </c>
      <c r="M90" s="1">
        <v>0</v>
      </c>
      <c r="N90" s="1">
        <v>2</v>
      </c>
      <c r="O90" s="1">
        <v>0</v>
      </c>
      <c r="P90" s="1">
        <v>6</v>
      </c>
      <c r="Q90" s="1">
        <v>0</v>
      </c>
      <c r="R90" s="1">
        <v>2</v>
      </c>
    </row>
    <row r="91" spans="1:18" x14ac:dyDescent="0.3">
      <c r="A91" s="43"/>
      <c r="C91" t="s">
        <v>78</v>
      </c>
      <c r="D91" s="1">
        <v>3</v>
      </c>
      <c r="E91" s="1">
        <v>0</v>
      </c>
      <c r="F91" s="1">
        <v>9</v>
      </c>
      <c r="G91" s="1">
        <v>8</v>
      </c>
      <c r="H91" s="1">
        <v>12</v>
      </c>
      <c r="I91" s="1">
        <v>0</v>
      </c>
      <c r="J91" s="1">
        <v>19</v>
      </c>
      <c r="K91" s="1">
        <v>9</v>
      </c>
      <c r="L91" s="1">
        <v>9</v>
      </c>
      <c r="M91" s="1">
        <v>10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</row>
    <row r="92" spans="1:18" x14ac:dyDescent="0.3">
      <c r="A92" s="43"/>
      <c r="C92" t="s">
        <v>79</v>
      </c>
      <c r="D92" s="1">
        <v>14</v>
      </c>
      <c r="E92" s="1">
        <v>87</v>
      </c>
      <c r="F92" s="1">
        <v>148</v>
      </c>
      <c r="G92" s="1">
        <v>102</v>
      </c>
      <c r="H92" s="1">
        <v>145</v>
      </c>
      <c r="I92" s="1">
        <v>191</v>
      </c>
      <c r="J92" s="1">
        <v>216</v>
      </c>
      <c r="K92" s="1">
        <v>278</v>
      </c>
      <c r="L92" s="1">
        <v>217</v>
      </c>
      <c r="M92" s="1">
        <v>111</v>
      </c>
      <c r="N92" s="1">
        <v>0</v>
      </c>
      <c r="O92" s="1">
        <v>1</v>
      </c>
      <c r="P92" s="1">
        <v>13</v>
      </c>
      <c r="Q92" s="1">
        <v>37</v>
      </c>
      <c r="R92" s="1">
        <v>61</v>
      </c>
    </row>
    <row r="93" spans="1:18" x14ac:dyDescent="0.3">
      <c r="A93" s="43"/>
      <c r="C93" t="s">
        <v>80</v>
      </c>
      <c r="D93" s="1">
        <v>281</v>
      </c>
      <c r="E93" s="1">
        <v>186</v>
      </c>
      <c r="F93" s="1">
        <v>149</v>
      </c>
      <c r="G93" s="1">
        <v>176</v>
      </c>
      <c r="H93" s="1">
        <v>113</v>
      </c>
      <c r="I93" s="1">
        <v>123</v>
      </c>
      <c r="J93" s="1">
        <v>114</v>
      </c>
      <c r="K93" s="1">
        <v>89</v>
      </c>
      <c r="L93" s="1">
        <v>51</v>
      </c>
      <c r="M93" s="1">
        <v>63</v>
      </c>
      <c r="N93" s="1">
        <v>3</v>
      </c>
      <c r="O93" s="1">
        <v>4</v>
      </c>
      <c r="P93" s="1">
        <v>70</v>
      </c>
      <c r="Q93" s="1">
        <v>3</v>
      </c>
      <c r="R93" s="1">
        <v>57</v>
      </c>
    </row>
    <row r="94" spans="1:18" x14ac:dyDescent="0.3">
      <c r="A94" s="43"/>
      <c r="C94" t="s">
        <v>81</v>
      </c>
      <c r="D94" s="1">
        <v>206</v>
      </c>
      <c r="E94" s="1">
        <v>215</v>
      </c>
      <c r="F94" s="1">
        <v>207</v>
      </c>
      <c r="G94" s="1">
        <v>85</v>
      </c>
      <c r="H94" s="1">
        <v>149</v>
      </c>
      <c r="I94" s="1">
        <v>280</v>
      </c>
      <c r="J94" s="1">
        <v>258</v>
      </c>
      <c r="K94" s="1">
        <v>118</v>
      </c>
      <c r="L94" s="1">
        <v>228</v>
      </c>
      <c r="M94" s="1">
        <v>301</v>
      </c>
      <c r="N94" s="1">
        <v>230</v>
      </c>
      <c r="O94" s="1">
        <v>220</v>
      </c>
      <c r="P94" s="1">
        <v>288</v>
      </c>
      <c r="Q94" s="1">
        <v>300</v>
      </c>
      <c r="R94" s="1">
        <v>337</v>
      </c>
    </row>
    <row r="95" spans="1:18" x14ac:dyDescent="0.3">
      <c r="A95" s="43"/>
      <c r="C95" t="s">
        <v>82</v>
      </c>
      <c r="D95" s="1">
        <v>912</v>
      </c>
      <c r="E95" s="1">
        <v>747</v>
      </c>
      <c r="F95" s="1">
        <v>931</v>
      </c>
      <c r="G95" s="1">
        <v>1161</v>
      </c>
      <c r="H95" s="1">
        <v>1105</v>
      </c>
      <c r="I95" s="1">
        <v>1131</v>
      </c>
      <c r="J95" s="1">
        <v>532</v>
      </c>
      <c r="K95" s="1">
        <v>470</v>
      </c>
      <c r="L95" s="1">
        <v>508</v>
      </c>
      <c r="M95" s="1">
        <v>517</v>
      </c>
      <c r="N95" s="1">
        <v>311</v>
      </c>
      <c r="O95" s="1">
        <v>404</v>
      </c>
      <c r="P95" s="1">
        <v>455</v>
      </c>
      <c r="Q95" s="1">
        <v>483</v>
      </c>
      <c r="R95" s="1">
        <v>493</v>
      </c>
    </row>
    <row r="96" spans="1:18" x14ac:dyDescent="0.3">
      <c r="A96" s="43"/>
      <c r="C96" t="s">
        <v>83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2</v>
      </c>
      <c r="K96" s="1">
        <v>2</v>
      </c>
      <c r="L96" s="1">
        <v>4</v>
      </c>
      <c r="M96" s="1">
        <v>13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</row>
    <row r="97" spans="1:18" x14ac:dyDescent="0.3">
      <c r="A97" s="43"/>
      <c r="C97" t="s">
        <v>84</v>
      </c>
      <c r="D97" s="1">
        <v>94</v>
      </c>
      <c r="E97" s="1">
        <v>95</v>
      </c>
      <c r="F97" s="1">
        <v>91</v>
      </c>
      <c r="G97" s="1">
        <v>99</v>
      </c>
      <c r="H97" s="1">
        <v>105</v>
      </c>
      <c r="I97" s="1">
        <v>181</v>
      </c>
      <c r="J97" s="1">
        <v>216</v>
      </c>
      <c r="K97" s="1">
        <v>232</v>
      </c>
      <c r="L97" s="1">
        <v>177</v>
      </c>
      <c r="M97" s="1">
        <v>153</v>
      </c>
      <c r="N97" s="1">
        <v>2</v>
      </c>
      <c r="O97" s="1">
        <v>113</v>
      </c>
      <c r="P97" s="1">
        <v>111</v>
      </c>
      <c r="Q97" s="1">
        <v>205</v>
      </c>
      <c r="R97" s="1">
        <v>230</v>
      </c>
    </row>
    <row r="98" spans="1:18" x14ac:dyDescent="0.3">
      <c r="A98" s="43"/>
      <c r="C98" t="s">
        <v>85</v>
      </c>
      <c r="D98" s="1">
        <v>25</v>
      </c>
      <c r="E98" s="1">
        <v>63</v>
      </c>
      <c r="F98" s="1">
        <v>10</v>
      </c>
      <c r="G98" s="1">
        <v>101</v>
      </c>
      <c r="H98" s="1">
        <v>34</v>
      </c>
      <c r="I98" s="1">
        <v>41</v>
      </c>
      <c r="J98" s="1">
        <v>30</v>
      </c>
      <c r="K98" s="1">
        <v>108</v>
      </c>
      <c r="L98" s="1">
        <v>69</v>
      </c>
      <c r="M98" s="1">
        <v>68</v>
      </c>
      <c r="N98" s="1">
        <v>1</v>
      </c>
      <c r="O98" s="1">
        <v>31</v>
      </c>
      <c r="P98" s="1">
        <v>11</v>
      </c>
      <c r="Q98" s="1">
        <v>46</v>
      </c>
      <c r="R98" s="1">
        <v>24</v>
      </c>
    </row>
    <row r="99" spans="1:18" x14ac:dyDescent="0.3">
      <c r="A99" s="43"/>
      <c r="C99" t="s">
        <v>86</v>
      </c>
      <c r="D99" s="1">
        <v>84</v>
      </c>
      <c r="E99" s="1">
        <v>120</v>
      </c>
      <c r="F99" s="1">
        <v>80</v>
      </c>
      <c r="G99" s="1">
        <v>98</v>
      </c>
      <c r="H99" s="1">
        <v>108</v>
      </c>
      <c r="I99" s="1">
        <v>131</v>
      </c>
      <c r="J99" s="1">
        <v>195</v>
      </c>
      <c r="K99" s="1">
        <v>138</v>
      </c>
      <c r="L99" s="1">
        <v>263</v>
      </c>
      <c r="M99" s="1">
        <v>245</v>
      </c>
      <c r="N99" s="1">
        <v>37</v>
      </c>
      <c r="O99" s="1">
        <v>81</v>
      </c>
      <c r="P99" s="1">
        <v>186</v>
      </c>
      <c r="Q99" s="1">
        <v>187</v>
      </c>
      <c r="R99" s="1">
        <v>182</v>
      </c>
    </row>
    <row r="100" spans="1:18" x14ac:dyDescent="0.3">
      <c r="A100" s="43"/>
      <c r="C100" t="s">
        <v>87</v>
      </c>
      <c r="D100" s="1">
        <v>0</v>
      </c>
      <c r="E100" s="1">
        <v>0</v>
      </c>
      <c r="F100" s="1">
        <v>0</v>
      </c>
      <c r="G100" s="1">
        <v>20</v>
      </c>
      <c r="H100" s="1">
        <v>23</v>
      </c>
      <c r="I100" s="1">
        <v>34</v>
      </c>
      <c r="J100" s="1">
        <v>19</v>
      </c>
      <c r="K100" s="1">
        <v>24</v>
      </c>
      <c r="L100" s="1">
        <v>4</v>
      </c>
      <c r="M100" s="1">
        <v>8</v>
      </c>
      <c r="N100" s="1">
        <v>1</v>
      </c>
      <c r="O100" s="1">
        <v>0</v>
      </c>
      <c r="P100" s="1">
        <v>0</v>
      </c>
      <c r="Q100" s="1">
        <v>0</v>
      </c>
      <c r="R100" s="1">
        <v>9</v>
      </c>
    </row>
    <row r="101" spans="1:18" x14ac:dyDescent="0.3">
      <c r="A101" s="43"/>
      <c r="C101" t="s">
        <v>88</v>
      </c>
      <c r="D101" s="1">
        <v>0</v>
      </c>
      <c r="E101" s="1">
        <v>0</v>
      </c>
      <c r="F101" s="1">
        <v>0</v>
      </c>
      <c r="G101" s="1">
        <v>967</v>
      </c>
      <c r="H101" s="1">
        <v>964</v>
      </c>
      <c r="I101" s="1">
        <v>1302</v>
      </c>
      <c r="J101" s="1">
        <v>1362</v>
      </c>
      <c r="K101" s="1">
        <v>919</v>
      </c>
      <c r="L101" s="1">
        <v>1341</v>
      </c>
      <c r="M101" s="1">
        <v>1036</v>
      </c>
      <c r="N101" s="1">
        <v>340</v>
      </c>
      <c r="O101" s="1">
        <v>275</v>
      </c>
      <c r="P101" s="1">
        <v>588</v>
      </c>
      <c r="Q101" s="1">
        <v>481</v>
      </c>
      <c r="R101" s="1">
        <v>511</v>
      </c>
    </row>
    <row r="102" spans="1:18" x14ac:dyDescent="0.3">
      <c r="A102" s="43"/>
      <c r="B102" s="8"/>
      <c r="C102" s="9" t="s">
        <v>108</v>
      </c>
      <c r="D102" s="10">
        <f t="shared" ref="D102:O102" si="13">SUM(D28:D101)</f>
        <v>29557</v>
      </c>
      <c r="E102" s="10">
        <f t="shared" si="13"/>
        <v>29782</v>
      </c>
      <c r="F102" s="10">
        <f t="shared" si="13"/>
        <v>29838</v>
      </c>
      <c r="G102" s="10">
        <f t="shared" si="13"/>
        <v>32920</v>
      </c>
      <c r="H102" s="10">
        <f t="shared" si="13"/>
        <v>34526</v>
      </c>
      <c r="I102" s="10">
        <f t="shared" si="13"/>
        <v>37142</v>
      </c>
      <c r="J102" s="10">
        <f t="shared" si="13"/>
        <v>39837</v>
      </c>
      <c r="K102" s="10">
        <f t="shared" si="13"/>
        <v>36095</v>
      </c>
      <c r="L102" s="10">
        <f t="shared" si="13"/>
        <v>36857</v>
      </c>
      <c r="M102" s="10">
        <f t="shared" si="13"/>
        <v>34226</v>
      </c>
      <c r="N102" s="10">
        <f t="shared" si="13"/>
        <v>10110</v>
      </c>
      <c r="O102" s="10">
        <f t="shared" si="13"/>
        <v>16616</v>
      </c>
      <c r="P102" s="10">
        <f t="shared" ref="P102:R102" si="14">SUM(P28:P101)</f>
        <v>28260</v>
      </c>
      <c r="Q102" s="10">
        <f t="shared" si="14"/>
        <v>30145</v>
      </c>
      <c r="R102" s="10">
        <f t="shared" si="14"/>
        <v>33013</v>
      </c>
    </row>
    <row r="103" spans="1:18" x14ac:dyDescent="0.3">
      <c r="A103" s="43"/>
      <c r="B103" t="s">
        <v>45</v>
      </c>
      <c r="C103" t="s">
        <v>46</v>
      </c>
      <c r="D103" s="1">
        <v>1004</v>
      </c>
      <c r="E103" s="1">
        <v>1224</v>
      </c>
      <c r="F103" s="1">
        <v>1426</v>
      </c>
      <c r="G103" s="1">
        <v>1355</v>
      </c>
      <c r="H103" s="1">
        <v>1127</v>
      </c>
      <c r="I103" s="1">
        <v>746</v>
      </c>
      <c r="J103" s="1">
        <v>510</v>
      </c>
      <c r="K103" s="1">
        <v>495</v>
      </c>
      <c r="L103" s="1">
        <v>423</v>
      </c>
      <c r="M103" s="1">
        <v>461</v>
      </c>
      <c r="N103" s="1">
        <v>427</v>
      </c>
      <c r="O103" s="1">
        <v>361</v>
      </c>
      <c r="P103" s="1">
        <v>423</v>
      </c>
      <c r="Q103" s="1">
        <v>434</v>
      </c>
      <c r="R103" s="1">
        <v>446</v>
      </c>
    </row>
    <row r="104" spans="1:18" x14ac:dyDescent="0.3">
      <c r="A104" s="43"/>
      <c r="C104" t="s">
        <v>56</v>
      </c>
      <c r="D104" s="1">
        <v>8464</v>
      </c>
      <c r="E104" s="1">
        <v>8190</v>
      </c>
      <c r="F104" s="1">
        <v>6923</v>
      </c>
      <c r="G104" s="1">
        <v>7334</v>
      </c>
      <c r="H104" s="1">
        <v>10964</v>
      </c>
      <c r="I104" s="1">
        <v>8177</v>
      </c>
      <c r="J104" s="1">
        <v>7369</v>
      </c>
      <c r="K104" s="1">
        <v>6776</v>
      </c>
      <c r="L104" s="1">
        <v>7116</v>
      </c>
      <c r="M104" s="1">
        <v>5852</v>
      </c>
      <c r="N104" s="1">
        <v>3569</v>
      </c>
      <c r="O104" s="1">
        <v>4300</v>
      </c>
      <c r="P104" s="1">
        <v>6017</v>
      </c>
      <c r="Q104" s="1">
        <v>6541</v>
      </c>
      <c r="R104" s="1">
        <v>6410</v>
      </c>
    </row>
    <row r="105" spans="1:18" x14ac:dyDescent="0.3">
      <c r="A105" s="43"/>
      <c r="C105" t="s">
        <v>62</v>
      </c>
      <c r="D105" s="1">
        <v>290</v>
      </c>
      <c r="E105" s="1">
        <v>336</v>
      </c>
      <c r="F105" s="1">
        <v>338</v>
      </c>
      <c r="G105" s="1">
        <v>426</v>
      </c>
      <c r="H105" s="1">
        <v>418</v>
      </c>
      <c r="I105" s="1">
        <v>482</v>
      </c>
      <c r="J105" s="1">
        <v>531</v>
      </c>
      <c r="K105" s="1">
        <v>517</v>
      </c>
      <c r="L105" s="1">
        <v>532</v>
      </c>
      <c r="M105" s="1">
        <v>480</v>
      </c>
      <c r="N105" s="1">
        <v>494</v>
      </c>
      <c r="O105" s="1">
        <v>401</v>
      </c>
      <c r="P105" s="1">
        <v>417</v>
      </c>
      <c r="Q105" s="1">
        <v>316</v>
      </c>
      <c r="R105" s="1">
        <v>325</v>
      </c>
    </row>
    <row r="106" spans="1:18" x14ac:dyDescent="0.3">
      <c r="A106" s="43"/>
      <c r="C106" t="s">
        <v>63</v>
      </c>
      <c r="D106" s="1">
        <v>653</v>
      </c>
      <c r="E106" s="1">
        <v>750</v>
      </c>
      <c r="F106" s="1">
        <v>775</v>
      </c>
      <c r="G106" s="1">
        <v>872</v>
      </c>
      <c r="H106" s="1">
        <v>857</v>
      </c>
      <c r="I106" s="1">
        <v>930</v>
      </c>
      <c r="J106" s="1">
        <v>1054</v>
      </c>
      <c r="K106" s="1">
        <v>1032</v>
      </c>
      <c r="L106" s="1">
        <v>1014</v>
      </c>
      <c r="M106" s="1">
        <v>938</v>
      </c>
      <c r="N106" s="1">
        <v>972</v>
      </c>
      <c r="O106" s="1">
        <v>715</v>
      </c>
      <c r="P106" s="1">
        <v>764</v>
      </c>
      <c r="Q106" s="1">
        <v>591</v>
      </c>
      <c r="R106" s="1">
        <v>627</v>
      </c>
    </row>
    <row r="107" spans="1:18" x14ac:dyDescent="0.3">
      <c r="A107" s="43"/>
      <c r="C107" t="s">
        <v>68</v>
      </c>
      <c r="D107" s="1">
        <v>2954</v>
      </c>
      <c r="E107" s="1">
        <v>3194</v>
      </c>
      <c r="F107" s="1">
        <v>3556</v>
      </c>
      <c r="G107" s="1">
        <v>3796</v>
      </c>
      <c r="H107" s="1">
        <v>4033</v>
      </c>
      <c r="I107" s="1">
        <v>4298</v>
      </c>
      <c r="J107" s="1">
        <v>4619</v>
      </c>
      <c r="K107" s="1">
        <v>4380</v>
      </c>
      <c r="L107" s="1">
        <v>4643</v>
      </c>
      <c r="M107" s="1">
        <v>4455</v>
      </c>
      <c r="N107" s="1">
        <v>1012</v>
      </c>
      <c r="O107" s="1">
        <v>1937</v>
      </c>
      <c r="P107" s="1">
        <v>3394</v>
      </c>
      <c r="Q107" s="1">
        <v>3327</v>
      </c>
      <c r="R107" s="1">
        <v>3657</v>
      </c>
    </row>
    <row r="108" spans="1:18" x14ac:dyDescent="0.3">
      <c r="A108" s="43"/>
      <c r="C108" t="s">
        <v>70</v>
      </c>
      <c r="D108" s="1">
        <v>1089</v>
      </c>
      <c r="E108" s="1">
        <v>2029</v>
      </c>
      <c r="F108" s="1">
        <v>2016</v>
      </c>
      <c r="G108" s="1">
        <v>2085</v>
      </c>
      <c r="H108" s="1">
        <v>2389</v>
      </c>
      <c r="I108" s="1">
        <v>2755</v>
      </c>
      <c r="J108" s="1">
        <v>3033</v>
      </c>
      <c r="K108" s="1">
        <v>3305</v>
      </c>
      <c r="L108" s="1">
        <v>3388</v>
      </c>
      <c r="M108" s="1">
        <v>3359</v>
      </c>
      <c r="N108" s="1">
        <v>1250</v>
      </c>
      <c r="O108" s="1">
        <v>2259</v>
      </c>
      <c r="P108" s="1">
        <v>3585</v>
      </c>
      <c r="Q108" s="1">
        <v>3785</v>
      </c>
      <c r="R108" s="1">
        <v>3535</v>
      </c>
    </row>
    <row r="109" spans="1:18" x14ac:dyDescent="0.3">
      <c r="A109" s="43"/>
      <c r="C109" t="s">
        <v>71</v>
      </c>
      <c r="D109" s="1">
        <v>935</v>
      </c>
      <c r="E109" s="1">
        <v>1700</v>
      </c>
      <c r="F109" s="1">
        <v>1467</v>
      </c>
      <c r="G109" s="1">
        <v>1738</v>
      </c>
      <c r="H109" s="1">
        <v>2015</v>
      </c>
      <c r="I109" s="1">
        <v>2076</v>
      </c>
      <c r="J109" s="1">
        <v>1933</v>
      </c>
      <c r="K109" s="1">
        <v>2392</v>
      </c>
      <c r="L109" s="1">
        <v>2469</v>
      </c>
      <c r="M109" s="1">
        <v>2468</v>
      </c>
      <c r="N109" s="1">
        <v>899</v>
      </c>
      <c r="O109" s="1">
        <v>1456</v>
      </c>
      <c r="P109" s="1">
        <v>2029</v>
      </c>
      <c r="Q109" s="1">
        <v>2092</v>
      </c>
      <c r="R109" s="1">
        <v>2005</v>
      </c>
    </row>
    <row r="110" spans="1:18" x14ac:dyDescent="0.3">
      <c r="A110" s="43"/>
      <c r="C110" t="s">
        <v>72</v>
      </c>
      <c r="D110" s="1">
        <v>100</v>
      </c>
      <c r="E110" s="1">
        <v>160</v>
      </c>
      <c r="F110" s="1">
        <v>184</v>
      </c>
      <c r="G110" s="1">
        <v>144</v>
      </c>
      <c r="H110" s="1">
        <v>191</v>
      </c>
      <c r="I110" s="1">
        <v>155</v>
      </c>
      <c r="J110" s="1">
        <v>184</v>
      </c>
      <c r="K110" s="1">
        <v>210</v>
      </c>
      <c r="L110" s="1">
        <v>183</v>
      </c>
      <c r="M110" s="1">
        <v>193</v>
      </c>
      <c r="N110" s="1">
        <v>132</v>
      </c>
      <c r="O110" s="1">
        <v>236</v>
      </c>
      <c r="P110" s="1">
        <v>292</v>
      </c>
      <c r="Q110" s="1">
        <v>228</v>
      </c>
      <c r="R110" s="1">
        <v>164</v>
      </c>
    </row>
    <row r="111" spans="1:18" x14ac:dyDescent="0.3">
      <c r="A111" s="43"/>
      <c r="B111" s="9"/>
      <c r="C111" s="9" t="s">
        <v>101</v>
      </c>
      <c r="D111" s="10">
        <f>SUM(D103:D110)</f>
        <v>15489</v>
      </c>
      <c r="E111" s="10">
        <f t="shared" ref="E111:M111" si="15">SUM(E103:E110)</f>
        <v>17583</v>
      </c>
      <c r="F111" s="10">
        <f t="shared" si="15"/>
        <v>16685</v>
      </c>
      <c r="G111" s="10">
        <f t="shared" si="15"/>
        <v>17750</v>
      </c>
      <c r="H111" s="10">
        <f t="shared" si="15"/>
        <v>21994</v>
      </c>
      <c r="I111" s="10">
        <f t="shared" si="15"/>
        <v>19619</v>
      </c>
      <c r="J111" s="10">
        <f t="shared" si="15"/>
        <v>19233</v>
      </c>
      <c r="K111" s="10">
        <f t="shared" si="15"/>
        <v>19107</v>
      </c>
      <c r="L111" s="10">
        <f t="shared" si="15"/>
        <v>19768</v>
      </c>
      <c r="M111" s="10">
        <f t="shared" si="15"/>
        <v>18206</v>
      </c>
      <c r="N111" s="10">
        <f t="shared" ref="N111:O111" si="16">SUM(N103:N110)</f>
        <v>8755</v>
      </c>
      <c r="O111" s="10">
        <f t="shared" si="16"/>
        <v>11665</v>
      </c>
      <c r="P111" s="10">
        <f t="shared" ref="P111:R111" si="17">SUM(P103:P110)</f>
        <v>16921</v>
      </c>
      <c r="Q111" s="10">
        <f t="shared" si="17"/>
        <v>17314</v>
      </c>
      <c r="R111" s="10">
        <f t="shared" si="17"/>
        <v>17169</v>
      </c>
    </row>
    <row r="112" spans="1:18" ht="15" thickBot="1" x14ac:dyDescent="0.35">
      <c r="A112" s="44"/>
      <c r="B112" s="5" t="s">
        <v>99</v>
      </c>
      <c r="C112" s="6" t="s">
        <v>102</v>
      </c>
      <c r="D112" s="14">
        <f>SUM(D111,D102,D27)</f>
        <v>105641</v>
      </c>
      <c r="E112" s="14">
        <f t="shared" ref="E112:M112" si="18">SUM(E111,E102,E27)</f>
        <v>109143</v>
      </c>
      <c r="F112" s="14">
        <f t="shared" si="18"/>
        <v>108141</v>
      </c>
      <c r="G112" s="14">
        <f t="shared" si="18"/>
        <v>115860</v>
      </c>
      <c r="H112" s="14">
        <f t="shared" si="18"/>
        <v>126545</v>
      </c>
      <c r="I112" s="14">
        <f t="shared" si="18"/>
        <v>128686</v>
      </c>
      <c r="J112" s="14">
        <f t="shared" si="18"/>
        <v>135475</v>
      </c>
      <c r="K112" s="14">
        <f t="shared" si="18"/>
        <v>127714</v>
      </c>
      <c r="L112" s="14">
        <f t="shared" si="18"/>
        <v>129850</v>
      </c>
      <c r="M112" s="14">
        <f t="shared" si="18"/>
        <v>126609</v>
      </c>
      <c r="N112" s="14">
        <f t="shared" ref="N112:O112" si="19">SUM(N111,N102,N27)</f>
        <v>65165</v>
      </c>
      <c r="O112" s="14">
        <f t="shared" si="19"/>
        <v>74321</v>
      </c>
      <c r="P112" s="14">
        <f t="shared" ref="P112:R112" si="20">SUM(P111,P102,P27)</f>
        <v>107455</v>
      </c>
      <c r="Q112" s="14">
        <f t="shared" si="20"/>
        <v>120904</v>
      </c>
      <c r="R112" s="14">
        <f t="shared" si="20"/>
        <v>117245</v>
      </c>
    </row>
    <row r="113" spans="1:18" ht="15" thickBot="1" x14ac:dyDescent="0.35">
      <c r="A113" s="26" t="s">
        <v>107</v>
      </c>
      <c r="B113" s="27" t="s">
        <v>99</v>
      </c>
      <c r="C113" s="28" t="s">
        <v>103</v>
      </c>
      <c r="D113" s="29">
        <f>SUM(D112,D22)</f>
        <v>505306</v>
      </c>
      <c r="E113" s="29">
        <f t="shared" ref="E113:M113" si="21">SUM(E112,E22)</f>
        <v>496456</v>
      </c>
      <c r="F113" s="29">
        <f t="shared" si="21"/>
        <v>486353</v>
      </c>
      <c r="G113" s="29">
        <f t="shared" si="21"/>
        <v>511947</v>
      </c>
      <c r="H113" s="29">
        <f t="shared" si="21"/>
        <v>565363</v>
      </c>
      <c r="I113" s="29">
        <f t="shared" si="21"/>
        <v>526957</v>
      </c>
      <c r="J113" s="29">
        <f t="shared" si="21"/>
        <v>539248</v>
      </c>
      <c r="K113" s="29">
        <f t="shared" si="21"/>
        <v>509751</v>
      </c>
      <c r="L113" s="29">
        <f t="shared" si="21"/>
        <v>527823</v>
      </c>
      <c r="M113" s="29">
        <f t="shared" si="21"/>
        <v>510887</v>
      </c>
      <c r="N113" s="29">
        <f t="shared" ref="N113:O113" si="22">SUM(N112,N22)</f>
        <v>516127</v>
      </c>
      <c r="O113" s="29">
        <f t="shared" si="22"/>
        <v>482609</v>
      </c>
      <c r="P113" s="29">
        <f t="shared" ref="P113:R113" si="23">SUM(P112,P22)</f>
        <v>508558</v>
      </c>
      <c r="Q113" s="29">
        <f t="shared" si="23"/>
        <v>523992</v>
      </c>
      <c r="R113" s="29">
        <f t="shared" si="23"/>
        <v>525390</v>
      </c>
    </row>
    <row r="114" spans="1:18" ht="15" thickTop="1" x14ac:dyDescent="0.3"/>
  </sheetData>
  <mergeCells count="2">
    <mergeCell ref="A4:A22"/>
    <mergeCell ref="A23:A112"/>
  </mergeCells>
  <phoneticPr fontId="25" type="noConversion"/>
  <pageMargins left="0.7" right="0.7" top="0.75" bottom="0.75" header="0.3" footer="0.3"/>
  <pageSetup orientation="portrait" r:id="rId1"/>
  <ignoredErrors>
    <ignoredError sqref="H21 J21:K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2D66A-4240-418B-B7AA-847CF9B6A577}">
  <dimension ref="A1:Q116"/>
  <sheetViews>
    <sheetView topLeftCell="B1" workbookViewId="0">
      <pane ySplit="3" topLeftCell="A4" activePane="bottomLeft" state="frozen"/>
      <selection pane="bottomLeft" activeCell="P32" sqref="P32"/>
    </sheetView>
  </sheetViews>
  <sheetFormatPr defaultRowHeight="14.4" x14ac:dyDescent="0.3"/>
  <cols>
    <col min="1" max="1" width="10.109375" customWidth="1"/>
    <col min="2" max="2" width="20.44140625" bestFit="1" customWidth="1"/>
    <col min="3" max="3" width="42.21875" bestFit="1" customWidth="1"/>
    <col min="4" max="10" width="0" hidden="1" customWidth="1"/>
    <col min="11" max="17" width="14.88671875" bestFit="1" customWidth="1"/>
  </cols>
  <sheetData>
    <row r="1" spans="1:17" ht="23.4" x14ac:dyDescent="0.45">
      <c r="A1" s="2" t="s">
        <v>138</v>
      </c>
      <c r="N1" s="1"/>
      <c r="P1" s="1"/>
      <c r="Q1" s="1"/>
    </row>
    <row r="2" spans="1:17" x14ac:dyDescent="0.3">
      <c r="N2" s="1"/>
    </row>
    <row r="3" spans="1:17" ht="15" thickBot="1" x14ac:dyDescent="0.35">
      <c r="A3" s="3" t="s">
        <v>0</v>
      </c>
      <c r="B3" s="3" t="s">
        <v>1</v>
      </c>
      <c r="C3" s="3" t="s">
        <v>124</v>
      </c>
      <c r="D3" s="4" t="s">
        <v>113</v>
      </c>
      <c r="E3" s="4" t="s">
        <v>112</v>
      </c>
      <c r="F3" s="4" t="s">
        <v>111</v>
      </c>
      <c r="G3" s="4" t="s">
        <v>110</v>
      </c>
      <c r="H3" s="4" t="s">
        <v>89</v>
      </c>
      <c r="I3" s="4" t="s">
        <v>90</v>
      </c>
      <c r="J3" s="4" t="s">
        <v>91</v>
      </c>
      <c r="K3" s="4" t="s">
        <v>92</v>
      </c>
      <c r="L3" s="4" t="s">
        <v>93</v>
      </c>
      <c r="M3" s="4" t="s">
        <v>94</v>
      </c>
      <c r="N3" s="23" t="s">
        <v>114</v>
      </c>
      <c r="O3" s="30" t="s">
        <v>131</v>
      </c>
      <c r="P3" s="30" t="s">
        <v>134</v>
      </c>
      <c r="Q3" s="32" t="s">
        <v>137</v>
      </c>
    </row>
    <row r="4" spans="1:17" x14ac:dyDescent="0.3">
      <c r="A4" s="42" t="s">
        <v>8</v>
      </c>
      <c r="B4" t="s">
        <v>6</v>
      </c>
      <c r="C4" t="s">
        <v>7</v>
      </c>
      <c r="D4" s="1">
        <v>199799</v>
      </c>
      <c r="E4" s="1">
        <v>192825</v>
      </c>
      <c r="F4" s="1">
        <v>187744</v>
      </c>
      <c r="G4" s="1">
        <v>193631</v>
      </c>
      <c r="H4" s="1">
        <v>205903</v>
      </c>
      <c r="I4" s="1">
        <v>194461</v>
      </c>
      <c r="J4" s="1">
        <v>200515</v>
      </c>
      <c r="K4" s="33">
        <f>191361*36</f>
        <v>6888996</v>
      </c>
      <c r="L4" s="33">
        <f>194264*36</f>
        <v>6993504</v>
      </c>
      <c r="M4" s="33">
        <f>194757*36</f>
        <v>7011252</v>
      </c>
      <c r="N4" s="33">
        <f>237539*36</f>
        <v>8551404</v>
      </c>
      <c r="O4" s="33">
        <f>206697*36</f>
        <v>7441092</v>
      </c>
      <c r="P4" s="33">
        <f>192754*36</f>
        <v>6939144</v>
      </c>
      <c r="Q4" s="33">
        <f>189456*39.56</f>
        <v>7494879.3600000003</v>
      </c>
    </row>
    <row r="5" spans="1:17" x14ac:dyDescent="0.3">
      <c r="A5" s="43"/>
      <c r="C5" t="s">
        <v>136</v>
      </c>
      <c r="D5" s="1">
        <v>42756</v>
      </c>
      <c r="E5" s="1">
        <v>42938</v>
      </c>
      <c r="F5" s="1">
        <v>44648</v>
      </c>
      <c r="G5" s="1">
        <v>46652</v>
      </c>
      <c r="H5" s="1">
        <v>49624</v>
      </c>
      <c r="I5" s="1">
        <v>49134</v>
      </c>
      <c r="J5" s="1">
        <v>52563</v>
      </c>
      <c r="K5" s="33">
        <f>50533*5</f>
        <v>252665</v>
      </c>
      <c r="L5" s="33">
        <f>53708*5</f>
        <v>268540</v>
      </c>
      <c r="M5" s="33">
        <f>55535*5</f>
        <v>277675</v>
      </c>
      <c r="N5" s="33">
        <f>59249*5</f>
        <v>296245</v>
      </c>
      <c r="O5" s="34">
        <f>57843*5</f>
        <v>289215</v>
      </c>
      <c r="P5" s="33">
        <f>59779*5</f>
        <v>298895</v>
      </c>
      <c r="Q5" s="33">
        <f>60207*5.5</f>
        <v>331138.5</v>
      </c>
    </row>
    <row r="6" spans="1:17" x14ac:dyDescent="0.3">
      <c r="A6" s="43"/>
      <c r="C6" t="s">
        <v>135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33">
        <v>0</v>
      </c>
      <c r="L6" s="33">
        <v>0</v>
      </c>
      <c r="M6" s="33">
        <v>0</v>
      </c>
      <c r="N6" s="33">
        <v>0</v>
      </c>
      <c r="O6" s="34">
        <f>782*36</f>
        <v>28152</v>
      </c>
      <c r="P6" s="33">
        <f>258*36</f>
        <v>9288</v>
      </c>
      <c r="Q6" s="33">
        <f>236*39.56</f>
        <v>9336.16</v>
      </c>
    </row>
    <row r="7" spans="1:17" x14ac:dyDescent="0.3">
      <c r="A7" s="43"/>
      <c r="C7" t="s">
        <v>9</v>
      </c>
      <c r="D7" s="1">
        <v>8926</v>
      </c>
      <c r="E7" s="1">
        <v>8970</v>
      </c>
      <c r="F7" s="1">
        <v>9080</v>
      </c>
      <c r="G7" s="1">
        <v>9249</v>
      </c>
      <c r="H7" s="1">
        <v>9682</v>
      </c>
      <c r="I7" s="1">
        <v>9306</v>
      </c>
      <c r="J7" s="1">
        <v>9637</v>
      </c>
      <c r="K7" s="33">
        <f>9143*1</f>
        <v>9143</v>
      </c>
      <c r="L7" s="33">
        <v>8963</v>
      </c>
      <c r="M7" s="33">
        <v>9469</v>
      </c>
      <c r="N7" s="33">
        <v>9628</v>
      </c>
      <c r="O7" s="33">
        <v>8873</v>
      </c>
      <c r="P7" s="33">
        <f>8390</f>
        <v>8390</v>
      </c>
      <c r="Q7" s="33">
        <f>8267*1.1</f>
        <v>9093.7000000000007</v>
      </c>
    </row>
    <row r="8" spans="1:17" x14ac:dyDescent="0.3">
      <c r="A8" s="43"/>
      <c r="C8" t="s">
        <v>22</v>
      </c>
      <c r="D8" s="1">
        <v>11976</v>
      </c>
      <c r="E8" s="1">
        <v>12088</v>
      </c>
      <c r="F8" s="1">
        <v>11996</v>
      </c>
      <c r="G8" s="1">
        <v>10689</v>
      </c>
      <c r="H8" s="1">
        <v>10831</v>
      </c>
      <c r="I8" s="1">
        <v>9529</v>
      </c>
      <c r="J8" s="1">
        <v>9908</v>
      </c>
      <c r="K8" s="33">
        <f>8566*20</f>
        <v>171320</v>
      </c>
      <c r="L8" s="33">
        <f>9247*20</f>
        <v>184940</v>
      </c>
      <c r="M8" s="33">
        <f>9343*20</f>
        <v>186860</v>
      </c>
      <c r="N8" s="33">
        <f>10043*20</f>
        <v>200860</v>
      </c>
      <c r="O8" s="33">
        <f>7310*20</f>
        <v>146200</v>
      </c>
      <c r="P8" s="33">
        <f>8164*20</f>
        <v>163280</v>
      </c>
      <c r="Q8" s="33">
        <f>8194*21.98</f>
        <v>180104.12</v>
      </c>
    </row>
    <row r="9" spans="1:17" x14ac:dyDescent="0.3">
      <c r="A9" s="43"/>
      <c r="C9" t="s">
        <v>24</v>
      </c>
      <c r="D9" s="1">
        <v>2</v>
      </c>
      <c r="E9" s="1">
        <v>7</v>
      </c>
      <c r="F9" s="1">
        <v>2</v>
      </c>
      <c r="G9" s="1">
        <v>7</v>
      </c>
      <c r="H9" s="1">
        <v>2</v>
      </c>
      <c r="I9" s="1">
        <v>13</v>
      </c>
      <c r="J9" s="1">
        <v>2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</row>
    <row r="10" spans="1:17" x14ac:dyDescent="0.3">
      <c r="A10" s="43"/>
      <c r="C10" t="s">
        <v>57</v>
      </c>
      <c r="D10" s="1">
        <v>17802</v>
      </c>
      <c r="E10" s="1">
        <v>18415</v>
      </c>
      <c r="F10" s="1">
        <v>17936</v>
      </c>
      <c r="G10" s="1">
        <v>18495</v>
      </c>
      <c r="H10" s="1">
        <v>18982</v>
      </c>
      <c r="I10" s="1">
        <v>16818</v>
      </c>
      <c r="J10" s="1">
        <v>15721</v>
      </c>
      <c r="K10" s="33">
        <f>15453*10</f>
        <v>154530</v>
      </c>
      <c r="L10" s="33">
        <f>16506*10</f>
        <v>165060</v>
      </c>
      <c r="M10" s="33">
        <f>15773*10</f>
        <v>157730</v>
      </c>
      <c r="N10" s="33">
        <f>17968*10</f>
        <v>179680</v>
      </c>
      <c r="O10" s="33">
        <f>14124*10</f>
        <v>141240</v>
      </c>
      <c r="P10" s="33">
        <f>15311*10</f>
        <v>153110</v>
      </c>
      <c r="Q10" s="33">
        <f>16681*10.99</f>
        <v>183324.19</v>
      </c>
    </row>
    <row r="11" spans="1:17" x14ac:dyDescent="0.3">
      <c r="A11" s="43"/>
      <c r="B11" s="8"/>
      <c r="C11" s="9" t="s">
        <v>141</v>
      </c>
      <c r="D11" s="10">
        <f t="shared" ref="D11:E11" si="0">SUM(D4:D10)</f>
        <v>281261</v>
      </c>
      <c r="E11" s="10">
        <f t="shared" si="0"/>
        <v>275243</v>
      </c>
      <c r="F11" s="10">
        <f>SUM(F4:F10)</f>
        <v>271406</v>
      </c>
      <c r="G11" s="10">
        <f>SUM(G4:G10)</f>
        <v>278723</v>
      </c>
      <c r="H11" s="10">
        <f>SUM(H4:H10)</f>
        <v>295024</v>
      </c>
      <c r="I11" s="10">
        <f>SUM(I4:I10)</f>
        <v>279261</v>
      </c>
      <c r="J11" s="10">
        <f t="shared" ref="J11:M11" si="1">SUM(J4:J10)</f>
        <v>288346</v>
      </c>
      <c r="K11" s="35">
        <f t="shared" si="1"/>
        <v>7476654</v>
      </c>
      <c r="L11" s="35">
        <f t="shared" si="1"/>
        <v>7621007</v>
      </c>
      <c r="M11" s="35">
        <f t="shared" si="1"/>
        <v>7642986</v>
      </c>
      <c r="N11" s="35">
        <f>SUM(N4:N10)</f>
        <v>9237817</v>
      </c>
      <c r="O11" s="35">
        <f>SUM(O4:O10)</f>
        <v>8054772</v>
      </c>
      <c r="P11" s="35">
        <f t="shared" ref="P11:Q11" si="2">SUM(P4:P10)</f>
        <v>7572107</v>
      </c>
      <c r="Q11" s="35">
        <f t="shared" si="2"/>
        <v>8207876.0300000012</v>
      </c>
    </row>
    <row r="12" spans="1:17" x14ac:dyDescent="0.3">
      <c r="A12" s="43"/>
      <c r="B12" s="11" t="s">
        <v>3</v>
      </c>
      <c r="C12" s="13" t="s">
        <v>128</v>
      </c>
      <c r="D12" s="12">
        <v>17573</v>
      </c>
      <c r="E12" s="12">
        <v>17124</v>
      </c>
      <c r="F12" s="12">
        <v>17174</v>
      </c>
      <c r="G12" s="12">
        <v>18215</v>
      </c>
      <c r="H12" s="12">
        <v>20380</v>
      </c>
      <c r="I12" s="12">
        <v>20415</v>
      </c>
      <c r="J12" s="12">
        <v>21052</v>
      </c>
      <c r="K12" s="36">
        <f>18557*15</f>
        <v>278355</v>
      </c>
      <c r="L12" s="36">
        <f>16837*15</f>
        <v>252555</v>
      </c>
      <c r="M12" s="36">
        <f>18018*15</f>
        <v>270270</v>
      </c>
      <c r="N12" s="36">
        <f>21074*15</f>
        <v>316110</v>
      </c>
      <c r="O12" s="36">
        <f>19848*15</f>
        <v>297720</v>
      </c>
      <c r="P12" s="36">
        <f>20264*15</f>
        <v>303960</v>
      </c>
      <c r="Q12" s="36">
        <f>21009*16.49</f>
        <v>346438.41</v>
      </c>
    </row>
    <row r="13" spans="1:17" x14ac:dyDescent="0.3">
      <c r="A13" s="43"/>
      <c r="B13" t="s">
        <v>45</v>
      </c>
      <c r="C13" t="s">
        <v>46</v>
      </c>
      <c r="D13" s="1">
        <v>3308</v>
      </c>
      <c r="E13" s="1">
        <v>3925</v>
      </c>
      <c r="F13" s="1">
        <v>4208</v>
      </c>
      <c r="G13" s="1">
        <v>4330</v>
      </c>
      <c r="H13" s="1">
        <v>3817</v>
      </c>
      <c r="I13" s="1">
        <v>2765</v>
      </c>
      <c r="J13" s="1">
        <v>2197</v>
      </c>
      <c r="K13" s="33">
        <f>2108*10</f>
        <v>21080</v>
      </c>
      <c r="L13" s="33">
        <f>2078*10</f>
        <v>20780</v>
      </c>
      <c r="M13" s="33">
        <f>2092*10</f>
        <v>20920</v>
      </c>
      <c r="N13" s="33">
        <f>2867*10</f>
        <v>28670</v>
      </c>
      <c r="O13" s="33">
        <f>2783*10</f>
        <v>27830</v>
      </c>
      <c r="P13" s="33">
        <f>2682*10</f>
        <v>26820</v>
      </c>
      <c r="Q13" s="33">
        <f>2754*10.99</f>
        <v>30266.46</v>
      </c>
    </row>
    <row r="14" spans="1:17" x14ac:dyDescent="0.3">
      <c r="A14" s="43"/>
      <c r="C14" t="s">
        <v>56</v>
      </c>
      <c r="D14" s="1">
        <v>72198</v>
      </c>
      <c r="E14" s="1">
        <v>62892</v>
      </c>
      <c r="F14" s="1">
        <v>53821</v>
      </c>
      <c r="G14" s="1">
        <v>60845</v>
      </c>
      <c r="H14" s="1">
        <v>83692</v>
      </c>
      <c r="I14" s="1">
        <v>60443</v>
      </c>
      <c r="J14" s="1">
        <v>55945</v>
      </c>
      <c r="K14" s="33">
        <f>51143*15</f>
        <v>767145</v>
      </c>
      <c r="L14" s="33">
        <f>62029*15</f>
        <v>930435</v>
      </c>
      <c r="M14" s="33">
        <f>45840*15</f>
        <v>687600</v>
      </c>
      <c r="N14" s="33">
        <f>55187*15</f>
        <v>827805</v>
      </c>
      <c r="O14" s="33">
        <f>53221*15</f>
        <v>798315</v>
      </c>
      <c r="P14" s="33">
        <f>57499*15</f>
        <v>862485</v>
      </c>
      <c r="Q14" s="33">
        <f>58351*16.49</f>
        <v>962207.98999999987</v>
      </c>
    </row>
    <row r="15" spans="1:17" x14ac:dyDescent="0.3">
      <c r="A15" s="43"/>
      <c r="C15" t="s">
        <v>62</v>
      </c>
      <c r="D15" s="1">
        <v>931</v>
      </c>
      <c r="E15" s="1">
        <v>992</v>
      </c>
      <c r="F15" s="1">
        <v>1093</v>
      </c>
      <c r="G15" s="1">
        <v>1246</v>
      </c>
      <c r="H15" s="1">
        <v>1247</v>
      </c>
      <c r="I15" s="1">
        <v>1271</v>
      </c>
      <c r="J15" s="1">
        <v>1564</v>
      </c>
      <c r="K15" s="33">
        <f>1576*10</f>
        <v>15760</v>
      </c>
      <c r="L15" s="33">
        <f>1549*10</f>
        <v>15490</v>
      </c>
      <c r="M15" s="33">
        <f>1667*10</f>
        <v>16670</v>
      </c>
      <c r="N15" s="33">
        <f>2150*10</f>
        <v>21500</v>
      </c>
      <c r="O15" s="33">
        <f>2078*10</f>
        <v>20780</v>
      </c>
      <c r="P15" s="33">
        <f>2080*10</f>
        <v>20800</v>
      </c>
      <c r="Q15" s="33">
        <f>1801*10.99</f>
        <v>19792.990000000002</v>
      </c>
    </row>
    <row r="16" spans="1:17" x14ac:dyDescent="0.3">
      <c r="A16" s="43"/>
      <c r="C16" t="s">
        <v>63</v>
      </c>
      <c r="D16" s="1">
        <v>3124</v>
      </c>
      <c r="E16" s="1">
        <v>3323</v>
      </c>
      <c r="F16" s="1">
        <v>3676</v>
      </c>
      <c r="G16" s="1">
        <v>3784</v>
      </c>
      <c r="H16" s="1">
        <v>3664</v>
      </c>
      <c r="I16" s="1">
        <v>3626</v>
      </c>
      <c r="J16" s="1">
        <v>4455</v>
      </c>
      <c r="K16" s="33">
        <f>4323*10</f>
        <v>43230</v>
      </c>
      <c r="L16" s="33">
        <f>3986*10</f>
        <v>39860</v>
      </c>
      <c r="M16" s="33">
        <f>4108*10</f>
        <v>41080</v>
      </c>
      <c r="N16" s="33">
        <f>5444*10</f>
        <v>54440</v>
      </c>
      <c r="O16" s="33">
        <f>4934*10</f>
        <v>49340</v>
      </c>
      <c r="P16" s="33">
        <f>4690*10</f>
        <v>46900</v>
      </c>
      <c r="Q16" s="33">
        <f>3971*10.99</f>
        <v>43641.29</v>
      </c>
    </row>
    <row r="17" spans="1:17" x14ac:dyDescent="0.3">
      <c r="A17" s="43"/>
      <c r="C17" t="s">
        <v>68</v>
      </c>
      <c r="D17" s="1">
        <v>14841</v>
      </c>
      <c r="E17" s="1">
        <v>15573</v>
      </c>
      <c r="F17" s="1">
        <v>17368</v>
      </c>
      <c r="G17" s="1">
        <v>18033</v>
      </c>
      <c r="H17" s="1">
        <v>19559</v>
      </c>
      <c r="I17" s="1">
        <v>18537</v>
      </c>
      <c r="J17" s="1">
        <v>18363</v>
      </c>
      <c r="K17" s="33">
        <f>17005*25</f>
        <v>425125</v>
      </c>
      <c r="L17" s="33">
        <f>16136*25</f>
        <v>403400</v>
      </c>
      <c r="M17" s="33">
        <f>15996*25</f>
        <v>399900</v>
      </c>
      <c r="N17" s="33">
        <f>18662*25</f>
        <v>466550</v>
      </c>
      <c r="O17" s="33">
        <f>16843*25</f>
        <v>421075</v>
      </c>
      <c r="P17" s="33">
        <f>16798*25</f>
        <v>419950</v>
      </c>
      <c r="Q17" s="33">
        <f>16814*27.48</f>
        <v>462048.72000000003</v>
      </c>
    </row>
    <row r="18" spans="1:17" x14ac:dyDescent="0.3">
      <c r="A18" s="43"/>
      <c r="C18" t="s">
        <v>70</v>
      </c>
      <c r="D18" s="1">
        <v>2976</v>
      </c>
      <c r="E18" s="1">
        <v>4455</v>
      </c>
      <c r="F18" s="1">
        <v>5488</v>
      </c>
      <c r="G18" s="1">
        <v>6576</v>
      </c>
      <c r="H18" s="1">
        <v>6578</v>
      </c>
      <c r="I18" s="1">
        <v>6888</v>
      </c>
      <c r="J18" s="1">
        <v>6849</v>
      </c>
      <c r="K18" s="33">
        <f>6882*8</f>
        <v>55056</v>
      </c>
      <c r="L18" s="33">
        <f>7112*8</f>
        <v>56896</v>
      </c>
      <c r="M18" s="33">
        <f>6399*8</f>
        <v>51192</v>
      </c>
      <c r="N18" s="33">
        <f>5951*8</f>
        <v>47608</v>
      </c>
      <c r="O18" s="33">
        <f>7118*8</f>
        <v>56944</v>
      </c>
      <c r="P18" s="33">
        <f>6856*8</f>
        <v>54848</v>
      </c>
      <c r="Q18" s="33">
        <f>6760*8.79</f>
        <v>59420.399999999994</v>
      </c>
    </row>
    <row r="19" spans="1:17" x14ac:dyDescent="0.3">
      <c r="A19" s="43"/>
      <c r="C19" t="s">
        <v>71</v>
      </c>
      <c r="D19" s="1">
        <v>294</v>
      </c>
      <c r="E19" s="1">
        <v>383</v>
      </c>
      <c r="F19" s="1">
        <v>527</v>
      </c>
      <c r="G19" s="1">
        <v>528</v>
      </c>
      <c r="H19" s="1">
        <v>556</v>
      </c>
      <c r="I19" s="1">
        <v>519</v>
      </c>
      <c r="J19" s="1">
        <v>478</v>
      </c>
      <c r="K19" s="33">
        <f>557*15</f>
        <v>8355</v>
      </c>
      <c r="L19" s="33">
        <f>714*15</f>
        <v>10710</v>
      </c>
      <c r="M19" s="33">
        <f>707*15</f>
        <v>10605</v>
      </c>
      <c r="N19" s="33">
        <f>553*15</f>
        <v>8295</v>
      </c>
      <c r="O19" s="33">
        <f>695*15</f>
        <v>10425</v>
      </c>
      <c r="P19" s="33">
        <f>730*15</f>
        <v>10950</v>
      </c>
      <c r="Q19" s="33">
        <f>736*16.49</f>
        <v>12136.64</v>
      </c>
    </row>
    <row r="20" spans="1:17" x14ac:dyDescent="0.3">
      <c r="A20" s="43"/>
      <c r="C20" t="s">
        <v>72</v>
      </c>
      <c r="D20" s="1">
        <v>3159</v>
      </c>
      <c r="E20" s="1">
        <v>3403</v>
      </c>
      <c r="F20" s="1">
        <v>3451</v>
      </c>
      <c r="G20" s="1">
        <v>3807</v>
      </c>
      <c r="H20" s="1">
        <v>4301</v>
      </c>
      <c r="I20" s="1">
        <v>4546</v>
      </c>
      <c r="J20" s="1">
        <v>4524</v>
      </c>
      <c r="K20" s="33">
        <f>4826*25</f>
        <v>120650</v>
      </c>
      <c r="L20" s="33">
        <f>4842*25</f>
        <v>121050</v>
      </c>
      <c r="M20" s="33">
        <f>4574*25</f>
        <v>114350</v>
      </c>
      <c r="N20" s="33">
        <f>4641*25</f>
        <v>116025</v>
      </c>
      <c r="O20" s="33">
        <f>5127*25</f>
        <v>128175</v>
      </c>
      <c r="P20" s="33">
        <f>4845*25</f>
        <v>121125</v>
      </c>
      <c r="Q20" s="33">
        <f>4556*27.48</f>
        <v>125198.88</v>
      </c>
    </row>
    <row r="21" spans="1:17" x14ac:dyDescent="0.3">
      <c r="A21" s="43"/>
      <c r="B21" s="8"/>
      <c r="C21" s="9" t="s">
        <v>97</v>
      </c>
      <c r="D21" s="10">
        <f>SUM(D13:D20)</f>
        <v>100831</v>
      </c>
      <c r="E21" s="10">
        <f t="shared" ref="E21:F21" si="3">SUM(E13:E20)</f>
        <v>94946</v>
      </c>
      <c r="F21" s="10">
        <f t="shared" si="3"/>
        <v>89632</v>
      </c>
      <c r="G21" s="10">
        <f>SUM(G13:G20)</f>
        <v>99149</v>
      </c>
      <c r="H21" s="10">
        <f t="shared" ref="H21:K21" si="4">SUM(H13:H20)</f>
        <v>123414</v>
      </c>
      <c r="I21" s="10">
        <f>SUM(I13:I20)</f>
        <v>98595</v>
      </c>
      <c r="J21" s="10">
        <f t="shared" si="4"/>
        <v>94375</v>
      </c>
      <c r="K21" s="35">
        <f t="shared" si="4"/>
        <v>1456401</v>
      </c>
      <c r="L21" s="35">
        <f>SUM(L13:L20)</f>
        <v>1598621</v>
      </c>
      <c r="M21" s="35">
        <f t="shared" ref="M21" si="5">SUM(M13:M20)</f>
        <v>1342317</v>
      </c>
      <c r="N21" s="35">
        <f>SUM(N13:N20)</f>
        <v>1570893</v>
      </c>
      <c r="O21" s="35">
        <f>SUM(O13:O20)</f>
        <v>1512884</v>
      </c>
      <c r="P21" s="35">
        <f t="shared" ref="P21:Q21" si="6">SUM(P13:P20)</f>
        <v>1563878</v>
      </c>
      <c r="Q21" s="35">
        <f t="shared" si="6"/>
        <v>1714713.3699999996</v>
      </c>
    </row>
    <row r="22" spans="1:17" ht="15" thickBot="1" x14ac:dyDescent="0.35">
      <c r="A22" s="44"/>
      <c r="B22" s="5" t="s">
        <v>99</v>
      </c>
      <c r="C22" s="6" t="s">
        <v>140</v>
      </c>
      <c r="D22" s="7">
        <f>SUM(D21,D12,D11)</f>
        <v>399665</v>
      </c>
      <c r="E22" s="7">
        <f t="shared" ref="E22" si="7">SUM(E21,E12,E11)</f>
        <v>387313</v>
      </c>
      <c r="F22" s="7">
        <f>SUM(F21,F12,F11)</f>
        <v>378212</v>
      </c>
      <c r="G22" s="7">
        <f>SUM(G21,G12,G11)</f>
        <v>396087</v>
      </c>
      <c r="H22" s="7">
        <f>SUM(H21,H12,H11)</f>
        <v>438818</v>
      </c>
      <c r="I22" s="7">
        <f t="shared" ref="I22:Q22" si="8">SUM(I21,I12,I11)</f>
        <v>398271</v>
      </c>
      <c r="J22" s="7">
        <f t="shared" si="8"/>
        <v>403773</v>
      </c>
      <c r="K22" s="37">
        <f t="shared" si="8"/>
        <v>9211410</v>
      </c>
      <c r="L22" s="37">
        <f t="shared" si="8"/>
        <v>9472183</v>
      </c>
      <c r="M22" s="37">
        <f t="shared" si="8"/>
        <v>9255573</v>
      </c>
      <c r="N22" s="37">
        <f t="shared" si="8"/>
        <v>11124820</v>
      </c>
      <c r="O22" s="37">
        <f t="shared" si="8"/>
        <v>9865376</v>
      </c>
      <c r="P22" s="37">
        <f t="shared" si="8"/>
        <v>9439945</v>
      </c>
      <c r="Q22" s="37">
        <f t="shared" si="8"/>
        <v>10269027.810000001</v>
      </c>
    </row>
    <row r="23" spans="1:17" x14ac:dyDescent="0.3">
      <c r="A23" s="42" t="s">
        <v>2</v>
      </c>
      <c r="B23" t="s">
        <v>6</v>
      </c>
      <c r="C23" t="s">
        <v>142</v>
      </c>
      <c r="D23" s="1">
        <v>21288</v>
      </c>
      <c r="E23" s="1">
        <v>21135</v>
      </c>
      <c r="F23" s="1">
        <v>21148</v>
      </c>
      <c r="G23" s="1">
        <v>22558</v>
      </c>
      <c r="H23" s="1">
        <v>24665</v>
      </c>
      <c r="I23" s="1">
        <v>25611</v>
      </c>
      <c r="J23" s="1">
        <v>27742</v>
      </c>
      <c r="K23" s="33">
        <f>19795*55</f>
        <v>1088725</v>
      </c>
      <c r="L23" s="33">
        <f>19176*55</f>
        <v>1054680</v>
      </c>
      <c r="M23" s="33">
        <f>20142*55</f>
        <v>1107810</v>
      </c>
      <c r="N23" s="33">
        <f>55*21630</f>
        <v>1189650</v>
      </c>
      <c r="O23" s="33">
        <f>55*20084</f>
        <v>1104620</v>
      </c>
      <c r="P23" s="33">
        <f>55*20884</f>
        <v>1148620</v>
      </c>
      <c r="Q23" s="33">
        <f>20174*60.44</f>
        <v>1219316.56</v>
      </c>
    </row>
    <row r="24" spans="1:17" x14ac:dyDescent="0.3">
      <c r="A24" s="43"/>
      <c r="C24" t="s">
        <v>143</v>
      </c>
      <c r="D24" s="1"/>
      <c r="E24" s="1"/>
      <c r="F24" s="1"/>
      <c r="G24" s="1"/>
      <c r="H24" s="1"/>
      <c r="I24" s="1"/>
      <c r="J24" s="1"/>
      <c r="K24" s="33">
        <f>6241*80</f>
        <v>499280</v>
      </c>
      <c r="L24" s="33">
        <f>6537*80</f>
        <v>522960</v>
      </c>
      <c r="M24" s="33">
        <f>6496*80</f>
        <v>519680</v>
      </c>
      <c r="N24" s="33">
        <f>80*1199</f>
        <v>95920</v>
      </c>
      <c r="O24" s="33">
        <f>80*1788</f>
        <v>143040</v>
      </c>
      <c r="P24" s="33">
        <f>80*4672</f>
        <v>373760</v>
      </c>
      <c r="Q24" s="33">
        <f>5232*87.92</f>
        <v>459997.44</v>
      </c>
    </row>
    <row r="25" spans="1:17" x14ac:dyDescent="0.3">
      <c r="A25" s="43"/>
      <c r="C25" t="s">
        <v>144</v>
      </c>
      <c r="D25" s="1">
        <v>25467</v>
      </c>
      <c r="E25" s="1">
        <v>25950</v>
      </c>
      <c r="F25" s="1">
        <v>26102</v>
      </c>
      <c r="G25" s="1">
        <v>27771</v>
      </c>
      <c r="H25" s="1">
        <v>29257</v>
      </c>
      <c r="I25" s="1">
        <v>29645</v>
      </c>
      <c r="J25" s="1">
        <v>30618</v>
      </c>
      <c r="K25" s="33">
        <f>17230*36</f>
        <v>620280</v>
      </c>
      <c r="L25" s="33">
        <f>17022*36</f>
        <v>612792</v>
      </c>
      <c r="M25" s="33">
        <f>17280*36</f>
        <v>622080</v>
      </c>
      <c r="N25" s="33">
        <f>36*10043</f>
        <v>361548</v>
      </c>
      <c r="O25" s="33">
        <f>36*12780</f>
        <v>460080</v>
      </c>
      <c r="P25" s="33">
        <f>36*14502</f>
        <v>522072</v>
      </c>
      <c r="Q25" s="33">
        <f>14617*39.56</f>
        <v>578248.52</v>
      </c>
    </row>
    <row r="26" spans="1:17" x14ac:dyDescent="0.3">
      <c r="A26" s="43"/>
      <c r="C26" t="s">
        <v>145</v>
      </c>
      <c r="D26" s="1"/>
      <c r="E26" s="1"/>
      <c r="F26" s="1"/>
      <c r="G26" s="1"/>
      <c r="H26" s="1"/>
      <c r="I26" s="1"/>
      <c r="J26" s="1"/>
      <c r="K26" s="33">
        <f>11057*50</f>
        <v>552850</v>
      </c>
      <c r="L26" s="33">
        <f>11599*50</f>
        <v>579950</v>
      </c>
      <c r="M26" s="33">
        <f>11566*50</f>
        <v>578300</v>
      </c>
      <c r="N26" s="33">
        <f>50*243</f>
        <v>12150</v>
      </c>
      <c r="O26" s="33">
        <f>50*2284</f>
        <v>114200</v>
      </c>
      <c r="P26" s="33">
        <f>50*7665</f>
        <v>383250</v>
      </c>
      <c r="Q26" s="33">
        <f>9136*54.96</f>
        <v>502114.56</v>
      </c>
    </row>
    <row r="27" spans="1:17" x14ac:dyDescent="0.3">
      <c r="A27" s="43"/>
      <c r="C27" t="s">
        <v>24</v>
      </c>
      <c r="D27" s="1">
        <v>0</v>
      </c>
      <c r="E27" s="1">
        <v>0</v>
      </c>
      <c r="F27" s="1">
        <v>1</v>
      </c>
      <c r="G27" s="1">
        <v>9</v>
      </c>
      <c r="H27" s="1">
        <v>0</v>
      </c>
      <c r="I27" s="1">
        <v>0</v>
      </c>
      <c r="J27" s="1">
        <v>2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</row>
    <row r="28" spans="1:17" x14ac:dyDescent="0.3">
      <c r="A28" s="43"/>
      <c r="C28" t="s">
        <v>57</v>
      </c>
      <c r="D28" s="1">
        <v>13840</v>
      </c>
      <c r="E28" s="1">
        <v>14693</v>
      </c>
      <c r="F28" s="1">
        <v>14367</v>
      </c>
      <c r="G28" s="1">
        <v>14852</v>
      </c>
      <c r="H28" s="1">
        <v>16103</v>
      </c>
      <c r="I28" s="1">
        <v>16669</v>
      </c>
      <c r="J28" s="1">
        <v>18043</v>
      </c>
      <c r="K28" s="33">
        <f>18185*20</f>
        <v>363700</v>
      </c>
      <c r="L28" s="33">
        <f>18888*20</f>
        <v>377760</v>
      </c>
      <c r="M28" s="33">
        <f>18692*20</f>
        <v>373840</v>
      </c>
      <c r="N28" s="33">
        <f>20*7740</f>
        <v>154800</v>
      </c>
      <c r="O28" s="33">
        <f>20*9097</f>
        <v>181940</v>
      </c>
      <c r="P28" s="33">
        <f>20*14537</f>
        <v>290740</v>
      </c>
      <c r="Q28" s="33">
        <f>16767*21.98</f>
        <v>368538.66000000003</v>
      </c>
    </row>
    <row r="29" spans="1:17" x14ac:dyDescent="0.3">
      <c r="A29" s="43"/>
      <c r="B29" s="8"/>
      <c r="C29" s="9" t="s">
        <v>98</v>
      </c>
      <c r="D29" s="10">
        <f>SUM(D23:D28)</f>
        <v>60595</v>
      </c>
      <c r="E29" s="10">
        <f t="shared" ref="E29:Q29" si="9">SUM(E23:E28)</f>
        <v>61778</v>
      </c>
      <c r="F29" s="10">
        <f t="shared" si="9"/>
        <v>61618</v>
      </c>
      <c r="G29" s="10">
        <f t="shared" si="9"/>
        <v>65190</v>
      </c>
      <c r="H29" s="10">
        <f t="shared" si="9"/>
        <v>70025</v>
      </c>
      <c r="I29" s="10">
        <f t="shared" si="9"/>
        <v>71925</v>
      </c>
      <c r="J29" s="10">
        <f t="shared" si="9"/>
        <v>76405</v>
      </c>
      <c r="K29" s="35">
        <f t="shared" si="9"/>
        <v>3124835</v>
      </c>
      <c r="L29" s="35">
        <f t="shared" si="9"/>
        <v>3148142</v>
      </c>
      <c r="M29" s="35">
        <f t="shared" si="9"/>
        <v>3201710</v>
      </c>
      <c r="N29" s="35">
        <f>SUM(N23:N28)</f>
        <v>1814068</v>
      </c>
      <c r="O29" s="35">
        <f t="shared" si="9"/>
        <v>2003880</v>
      </c>
      <c r="P29" s="35">
        <f t="shared" si="9"/>
        <v>2718442</v>
      </c>
      <c r="Q29" s="35">
        <f t="shared" si="9"/>
        <v>3128215.74</v>
      </c>
    </row>
    <row r="30" spans="1:17" x14ac:dyDescent="0.3">
      <c r="A30" s="43"/>
      <c r="B30" t="s">
        <v>106</v>
      </c>
      <c r="C30" t="s">
        <v>4</v>
      </c>
      <c r="D30" s="1">
        <v>0</v>
      </c>
      <c r="E30" s="1">
        <v>0</v>
      </c>
      <c r="F30" s="1">
        <v>2</v>
      </c>
      <c r="G30" s="1">
        <v>0</v>
      </c>
      <c r="H30" s="1">
        <v>0</v>
      </c>
      <c r="I30" s="1">
        <v>3</v>
      </c>
      <c r="J30" s="1">
        <v>4</v>
      </c>
      <c r="K30" s="33">
        <f>15*20</f>
        <v>300</v>
      </c>
      <c r="L30" s="33">
        <f>0*20</f>
        <v>0</v>
      </c>
      <c r="M30" s="33">
        <f>5*20</f>
        <v>100</v>
      </c>
      <c r="N30" s="33">
        <v>0</v>
      </c>
      <c r="O30" s="33">
        <f>20*6</f>
        <v>120</v>
      </c>
      <c r="P30" s="33">
        <f>20*18</f>
        <v>360</v>
      </c>
      <c r="Q30" s="33">
        <f>21.98*10</f>
        <v>219.8</v>
      </c>
    </row>
    <row r="31" spans="1:17" x14ac:dyDescent="0.3">
      <c r="A31" s="43"/>
      <c r="C31" t="s">
        <v>5</v>
      </c>
      <c r="D31" s="1">
        <v>16</v>
      </c>
      <c r="E31" s="1">
        <v>72</v>
      </c>
      <c r="F31" s="1">
        <v>95</v>
      </c>
      <c r="G31" s="1">
        <v>120</v>
      </c>
      <c r="H31" s="1">
        <v>177</v>
      </c>
      <c r="I31" s="1">
        <v>138</v>
      </c>
      <c r="J31" s="1">
        <v>205</v>
      </c>
      <c r="K31" s="33">
        <f>132*20</f>
        <v>2640</v>
      </c>
      <c r="L31" s="33">
        <f>221*20</f>
        <v>4420</v>
      </c>
      <c r="M31" s="33">
        <f>101*20</f>
        <v>2020</v>
      </c>
      <c r="N31" s="33">
        <f>20*11</f>
        <v>220</v>
      </c>
      <c r="O31" s="33">
        <f>20*153</f>
        <v>3060</v>
      </c>
      <c r="P31" s="33">
        <f>20*167</f>
        <v>3340</v>
      </c>
      <c r="Q31" s="33">
        <f>21.98*166</f>
        <v>3648.6800000000003</v>
      </c>
    </row>
    <row r="32" spans="1:17" x14ac:dyDescent="0.3">
      <c r="A32" s="43"/>
      <c r="C32" t="s">
        <v>10</v>
      </c>
      <c r="D32" s="1">
        <v>1595</v>
      </c>
      <c r="E32" s="1">
        <v>1899</v>
      </c>
      <c r="F32" s="1">
        <v>1803</v>
      </c>
      <c r="G32" s="1">
        <v>1885</v>
      </c>
      <c r="H32" s="1">
        <v>1840</v>
      </c>
      <c r="I32" s="1">
        <v>2039</v>
      </c>
      <c r="J32" s="1">
        <v>2133</v>
      </c>
      <c r="K32" s="33">
        <f>2188*40</f>
        <v>87520</v>
      </c>
      <c r="L32" s="33">
        <f>2110*40</f>
        <v>84400</v>
      </c>
      <c r="M32" s="33">
        <f>2053*40</f>
        <v>82120</v>
      </c>
      <c r="N32" s="33">
        <f>40*338</f>
        <v>13520</v>
      </c>
      <c r="O32" s="33">
        <f>40*1112</f>
        <v>44480</v>
      </c>
      <c r="P32" s="33">
        <f>40*1826</f>
        <v>73040</v>
      </c>
      <c r="Q32" s="33">
        <f>43.96*1726</f>
        <v>75874.960000000006</v>
      </c>
    </row>
    <row r="33" spans="1:17" x14ac:dyDescent="0.3">
      <c r="A33" s="43"/>
      <c r="C33" t="s">
        <v>132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33">
        <f>20*5</f>
        <v>100</v>
      </c>
      <c r="Q33" s="33">
        <f>21.98*2</f>
        <v>43.96</v>
      </c>
    </row>
    <row r="34" spans="1:17" x14ac:dyDescent="0.3">
      <c r="A34" s="43"/>
      <c r="C34" t="s">
        <v>129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33">
        <v>0</v>
      </c>
      <c r="L34" s="33">
        <v>0</v>
      </c>
      <c r="M34" s="33">
        <v>0</v>
      </c>
      <c r="N34" s="33">
        <v>0</v>
      </c>
      <c r="O34" s="33">
        <f>20*1</f>
        <v>20</v>
      </c>
      <c r="P34" s="33">
        <v>0</v>
      </c>
      <c r="Q34" s="33">
        <v>0</v>
      </c>
    </row>
    <row r="35" spans="1:17" x14ac:dyDescent="0.3">
      <c r="A35" s="43"/>
      <c r="C35" t="s">
        <v>11</v>
      </c>
      <c r="D35" s="1">
        <v>3972</v>
      </c>
      <c r="E35" s="1">
        <v>3638</v>
      </c>
      <c r="F35" s="1">
        <v>4013</v>
      </c>
      <c r="G35" s="1">
        <v>4057</v>
      </c>
      <c r="H35" s="1">
        <v>4553</v>
      </c>
      <c r="I35" s="1">
        <v>4637</v>
      </c>
      <c r="J35" s="1">
        <v>5421</v>
      </c>
      <c r="K35" s="33">
        <f>4226*20</f>
        <v>84520</v>
      </c>
      <c r="L35" s="33">
        <f>4987*20</f>
        <v>99740</v>
      </c>
      <c r="M35" s="33">
        <f>4251*20</f>
        <v>85020</v>
      </c>
      <c r="N35" s="33">
        <f>20*836</f>
        <v>16720</v>
      </c>
      <c r="O35" s="33">
        <f>20*1400</f>
        <v>28000</v>
      </c>
      <c r="P35" s="33">
        <f>20*2895</f>
        <v>57900</v>
      </c>
      <c r="Q35" s="33">
        <f>21.98*2683</f>
        <v>58972.340000000004</v>
      </c>
    </row>
    <row r="36" spans="1:17" x14ac:dyDescent="0.3">
      <c r="A36" s="43"/>
      <c r="C36" t="s">
        <v>12</v>
      </c>
      <c r="D36" s="1">
        <v>548</v>
      </c>
      <c r="E36" s="1">
        <v>466</v>
      </c>
      <c r="F36" s="1">
        <v>443</v>
      </c>
      <c r="G36" s="1">
        <v>614</v>
      </c>
      <c r="H36" s="1">
        <v>781</v>
      </c>
      <c r="I36" s="1">
        <v>990</v>
      </c>
      <c r="J36" s="1">
        <v>1108</v>
      </c>
      <c r="K36" s="33">
        <f>993*20</f>
        <v>19860</v>
      </c>
      <c r="L36" s="33">
        <f>1146*20</f>
        <v>22920</v>
      </c>
      <c r="M36" s="33">
        <f>1013*20</f>
        <v>20260</v>
      </c>
      <c r="N36" s="33">
        <f>20*628</f>
        <v>12560</v>
      </c>
      <c r="O36" s="33">
        <f>20*693</f>
        <v>13860</v>
      </c>
      <c r="P36" s="33">
        <f>20*1076</f>
        <v>21520</v>
      </c>
      <c r="Q36" s="33">
        <f>21.98*1320</f>
        <v>29013.600000000002</v>
      </c>
    </row>
    <row r="37" spans="1:17" x14ac:dyDescent="0.3">
      <c r="A37" s="43"/>
      <c r="C37" t="s">
        <v>13</v>
      </c>
      <c r="D37" s="1">
        <v>204</v>
      </c>
      <c r="E37" s="1">
        <v>248</v>
      </c>
      <c r="F37" s="1">
        <v>263</v>
      </c>
      <c r="G37" s="1">
        <v>305</v>
      </c>
      <c r="H37" s="1">
        <v>435</v>
      </c>
      <c r="I37" s="1">
        <v>545</v>
      </c>
      <c r="J37" s="1">
        <v>627</v>
      </c>
      <c r="K37" s="33">
        <f>490*20</f>
        <v>9800</v>
      </c>
      <c r="L37" s="33">
        <f>598*20</f>
        <v>11960</v>
      </c>
      <c r="M37" s="33">
        <f>450*20</f>
        <v>9000</v>
      </c>
      <c r="N37" s="33">
        <f>20*10</f>
        <v>200</v>
      </c>
      <c r="O37" s="33">
        <f>20*59</f>
        <v>1180</v>
      </c>
      <c r="P37" s="33">
        <f>20*471</f>
        <v>9420</v>
      </c>
      <c r="Q37" s="33">
        <f>21.98*343</f>
        <v>7539.14</v>
      </c>
    </row>
    <row r="38" spans="1:17" x14ac:dyDescent="0.3">
      <c r="A38" s="43"/>
      <c r="C38" t="s">
        <v>14</v>
      </c>
      <c r="D38" s="1">
        <v>4</v>
      </c>
      <c r="E38" s="1">
        <v>8</v>
      </c>
      <c r="F38" s="1">
        <v>6</v>
      </c>
      <c r="G38" s="1">
        <v>14</v>
      </c>
      <c r="H38" s="1">
        <v>0</v>
      </c>
      <c r="I38" s="1">
        <v>1</v>
      </c>
      <c r="J38" s="1">
        <v>6</v>
      </c>
      <c r="K38" s="33">
        <f>4*20</f>
        <v>80</v>
      </c>
      <c r="L38" s="33">
        <f>8*20</f>
        <v>160</v>
      </c>
      <c r="M38" s="33">
        <f>8*20</f>
        <v>160</v>
      </c>
      <c r="N38" s="33">
        <v>0</v>
      </c>
      <c r="O38" s="33">
        <v>0</v>
      </c>
      <c r="P38" s="33">
        <f>20*12</f>
        <v>240</v>
      </c>
      <c r="Q38" s="33">
        <f>21.98*24</f>
        <v>527.52</v>
      </c>
    </row>
    <row r="39" spans="1:17" x14ac:dyDescent="0.3">
      <c r="A39" s="43"/>
      <c r="C39" t="s">
        <v>15</v>
      </c>
      <c r="D39" s="1">
        <v>11</v>
      </c>
      <c r="E39" s="1">
        <v>174</v>
      </c>
      <c r="F39" s="1">
        <v>216</v>
      </c>
      <c r="G39" s="1">
        <v>206</v>
      </c>
      <c r="H39" s="1">
        <v>228</v>
      </c>
      <c r="I39" s="1">
        <v>197</v>
      </c>
      <c r="J39" s="1">
        <v>216</v>
      </c>
      <c r="K39" s="33">
        <f>176*20</f>
        <v>3520</v>
      </c>
      <c r="L39" s="33">
        <f>147*20</f>
        <v>2940</v>
      </c>
      <c r="M39" s="33">
        <f>101*20</f>
        <v>2020</v>
      </c>
      <c r="N39" s="33">
        <f>20*4</f>
        <v>80</v>
      </c>
      <c r="O39" s="33">
        <f>20*80</f>
        <v>1600</v>
      </c>
      <c r="P39" s="33">
        <f>20*64</f>
        <v>1280</v>
      </c>
      <c r="Q39" s="33">
        <f>21.98*115</f>
        <v>2527.7000000000003</v>
      </c>
    </row>
    <row r="40" spans="1:17" x14ac:dyDescent="0.3">
      <c r="A40" s="43"/>
      <c r="C40" t="s">
        <v>130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33">
        <v>0</v>
      </c>
      <c r="L40" s="33">
        <v>0</v>
      </c>
      <c r="M40" s="33">
        <v>0</v>
      </c>
      <c r="N40" s="33">
        <v>0</v>
      </c>
      <c r="O40" s="33">
        <f>40*276</f>
        <v>11040</v>
      </c>
      <c r="P40" s="33">
        <f>40*375</f>
        <v>15000</v>
      </c>
      <c r="Q40" s="33">
        <f>43.96*354</f>
        <v>15561.84</v>
      </c>
    </row>
    <row r="41" spans="1:17" x14ac:dyDescent="0.3">
      <c r="A41" s="43"/>
      <c r="C41" t="s">
        <v>16</v>
      </c>
      <c r="D41" s="1">
        <v>3</v>
      </c>
      <c r="E41" s="1">
        <v>21</v>
      </c>
      <c r="F41" s="1">
        <v>6</v>
      </c>
      <c r="G41" s="1">
        <v>8</v>
      </c>
      <c r="H41" s="1">
        <v>0</v>
      </c>
      <c r="I41" s="1">
        <v>0</v>
      </c>
      <c r="J41" s="1">
        <v>7</v>
      </c>
      <c r="K41" s="33">
        <f>20*40</f>
        <v>800</v>
      </c>
      <c r="L41" s="33">
        <f>7*40</f>
        <v>280</v>
      </c>
      <c r="M41" s="33">
        <f>7*40</f>
        <v>280</v>
      </c>
      <c r="N41" s="33">
        <v>0</v>
      </c>
      <c r="O41" s="33">
        <f>40*18</f>
        <v>720</v>
      </c>
      <c r="P41" s="33">
        <v>0</v>
      </c>
      <c r="Q41" s="33">
        <v>0</v>
      </c>
    </row>
    <row r="42" spans="1:17" x14ac:dyDescent="0.3">
      <c r="A42" s="43"/>
      <c r="C42" t="s">
        <v>17</v>
      </c>
      <c r="D42" s="1">
        <v>48</v>
      </c>
      <c r="E42" s="1">
        <v>50</v>
      </c>
      <c r="F42" s="1">
        <v>41</v>
      </c>
      <c r="G42" s="1">
        <v>61</v>
      </c>
      <c r="H42" s="1">
        <v>62</v>
      </c>
      <c r="I42" s="1">
        <v>50</v>
      </c>
      <c r="J42" s="1">
        <v>104</v>
      </c>
      <c r="K42" s="33">
        <f>65*40</f>
        <v>2600</v>
      </c>
      <c r="L42" s="33">
        <f>140*40</f>
        <v>5600</v>
      </c>
      <c r="M42" s="33">
        <f>40*114</f>
        <v>4560</v>
      </c>
      <c r="N42" s="33">
        <f>40*45</f>
        <v>1800</v>
      </c>
      <c r="O42" s="33">
        <f>40*68</f>
        <v>2720</v>
      </c>
      <c r="P42" s="33">
        <f>40*126</f>
        <v>5040</v>
      </c>
      <c r="Q42" s="33">
        <f>43.96*94</f>
        <v>4132.24</v>
      </c>
    </row>
    <row r="43" spans="1:17" x14ac:dyDescent="0.3">
      <c r="A43" s="43"/>
      <c r="C43" t="s">
        <v>18</v>
      </c>
      <c r="D43" s="1">
        <v>1059</v>
      </c>
      <c r="E43" s="1">
        <v>1597</v>
      </c>
      <c r="F43" s="1">
        <v>1854</v>
      </c>
      <c r="G43" s="1">
        <v>1987</v>
      </c>
      <c r="H43" s="1">
        <v>1751</v>
      </c>
      <c r="I43" s="1">
        <v>1806</v>
      </c>
      <c r="J43" s="1">
        <v>1897</v>
      </c>
      <c r="K43" s="33">
        <f>1879*40</f>
        <v>75160</v>
      </c>
      <c r="L43" s="33">
        <f>2025*40</f>
        <v>81000</v>
      </c>
      <c r="M43" s="33">
        <f>40*2077</f>
        <v>83080</v>
      </c>
      <c r="N43" s="33">
        <v>0</v>
      </c>
      <c r="O43" s="33">
        <f>40*824</f>
        <v>32960</v>
      </c>
      <c r="P43" s="33">
        <f>40*1937</f>
        <v>77480</v>
      </c>
      <c r="Q43" s="33">
        <f>43.96*1901</f>
        <v>83567.960000000006</v>
      </c>
    </row>
    <row r="44" spans="1:17" x14ac:dyDescent="0.3">
      <c r="A44" s="43"/>
      <c r="C44" t="s">
        <v>19</v>
      </c>
      <c r="D44" s="1">
        <v>106</v>
      </c>
      <c r="E44" s="1">
        <v>90</v>
      </c>
      <c r="F44" s="1">
        <v>105</v>
      </c>
      <c r="G44" s="1">
        <v>105</v>
      </c>
      <c r="H44" s="1">
        <v>68</v>
      </c>
      <c r="I44" s="1">
        <v>76</v>
      </c>
      <c r="J44" s="1">
        <v>99</v>
      </c>
      <c r="K44" s="33">
        <f>88*40</f>
        <v>3520</v>
      </c>
      <c r="L44" s="33">
        <f>98*40</f>
        <v>3920</v>
      </c>
      <c r="M44" s="33">
        <f>40*61</f>
        <v>2440</v>
      </c>
      <c r="N44" s="33">
        <f>40*50</f>
        <v>2000</v>
      </c>
      <c r="O44" s="33">
        <f>40*63</f>
        <v>2520</v>
      </c>
      <c r="P44" s="33">
        <f>40*79</f>
        <v>3160</v>
      </c>
      <c r="Q44" s="33">
        <f>43.96*81</f>
        <v>3560.76</v>
      </c>
    </row>
    <row r="45" spans="1:17" x14ac:dyDescent="0.3">
      <c r="A45" s="43"/>
      <c r="C45" t="s">
        <v>133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f>40*329</f>
        <v>13160</v>
      </c>
      <c r="Q45" s="33">
        <f>43.96*280</f>
        <v>12308.800000000001</v>
      </c>
    </row>
    <row r="46" spans="1:17" x14ac:dyDescent="0.3">
      <c r="A46" s="43"/>
      <c r="C46" t="s">
        <v>20</v>
      </c>
      <c r="D46" s="1">
        <v>48</v>
      </c>
      <c r="E46" s="1">
        <v>51</v>
      </c>
      <c r="F46" s="1">
        <v>30</v>
      </c>
      <c r="G46" s="1">
        <v>15</v>
      </c>
      <c r="H46" s="1">
        <v>42</v>
      </c>
      <c r="I46" s="1">
        <v>32</v>
      </c>
      <c r="J46" s="1">
        <v>46</v>
      </c>
      <c r="K46" s="33">
        <f>23*20</f>
        <v>460</v>
      </c>
      <c r="L46" s="33">
        <f>8*20</f>
        <v>160</v>
      </c>
      <c r="M46" s="33">
        <f>20*24</f>
        <v>480</v>
      </c>
      <c r="N46" s="33">
        <v>0</v>
      </c>
      <c r="O46" s="33">
        <f>20*14</f>
        <v>280</v>
      </c>
      <c r="P46" s="33">
        <f>20*24</f>
        <v>480</v>
      </c>
      <c r="Q46" s="33">
        <f>21.98*36</f>
        <v>791.28</v>
      </c>
    </row>
    <row r="47" spans="1:17" x14ac:dyDescent="0.3">
      <c r="A47" s="43"/>
      <c r="C47" t="s">
        <v>127</v>
      </c>
      <c r="D47" s="1">
        <v>0</v>
      </c>
      <c r="E47" s="1">
        <v>3</v>
      </c>
      <c r="F47" s="1">
        <v>6</v>
      </c>
      <c r="G47" s="1">
        <v>2</v>
      </c>
      <c r="H47" s="1">
        <v>7</v>
      </c>
      <c r="I47" s="1">
        <v>3</v>
      </c>
      <c r="J47" s="1">
        <v>3</v>
      </c>
      <c r="K47" s="33">
        <f>3*20</f>
        <v>60</v>
      </c>
      <c r="L47" s="33">
        <v>0</v>
      </c>
      <c r="M47" s="33">
        <f>20*1</f>
        <v>20</v>
      </c>
      <c r="N47" s="33">
        <f>20*2</f>
        <v>40</v>
      </c>
      <c r="O47" s="33">
        <f>20*6</f>
        <v>120</v>
      </c>
      <c r="P47" s="33">
        <v>0</v>
      </c>
      <c r="Q47" s="33">
        <f>21.98*2</f>
        <v>43.96</v>
      </c>
    </row>
    <row r="48" spans="1:17" x14ac:dyDescent="0.3">
      <c r="A48" s="43"/>
      <c r="C48" t="s">
        <v>21</v>
      </c>
      <c r="D48" s="1">
        <v>60</v>
      </c>
      <c r="E48" s="1">
        <v>95</v>
      </c>
      <c r="F48" s="1">
        <v>76</v>
      </c>
      <c r="G48" s="1">
        <v>46</v>
      </c>
      <c r="H48" s="1">
        <v>151</v>
      </c>
      <c r="I48" s="1">
        <v>115</v>
      </c>
      <c r="J48" s="1">
        <v>142</v>
      </c>
      <c r="K48" s="33">
        <f>27*20</f>
        <v>540</v>
      </c>
      <c r="L48" s="33">
        <f>24*20</f>
        <v>480</v>
      </c>
      <c r="M48" s="33">
        <f>20*11</f>
        <v>220</v>
      </c>
      <c r="N48" s="33">
        <f>20*18</f>
        <v>360</v>
      </c>
      <c r="O48" s="33">
        <f>20*17</f>
        <v>340</v>
      </c>
      <c r="P48" s="33">
        <f>20*25</f>
        <v>500</v>
      </c>
      <c r="Q48" s="33">
        <f>21.98*12</f>
        <v>263.76</v>
      </c>
    </row>
    <row r="49" spans="1:17" x14ac:dyDescent="0.3">
      <c r="A49" s="43"/>
      <c r="C49" t="s">
        <v>23</v>
      </c>
      <c r="D49" s="1">
        <v>7950</v>
      </c>
      <c r="E49" s="1">
        <v>7822</v>
      </c>
      <c r="F49" s="1">
        <v>7677</v>
      </c>
      <c r="G49" s="1">
        <v>7154</v>
      </c>
      <c r="H49" s="1">
        <v>7625</v>
      </c>
      <c r="I49" s="1">
        <v>8664</v>
      </c>
      <c r="J49" s="1">
        <v>8659</v>
      </c>
      <c r="K49" s="33">
        <f>8702*20</f>
        <v>174040</v>
      </c>
      <c r="L49" s="33">
        <f>8866*20</f>
        <v>177320</v>
      </c>
      <c r="M49" s="33">
        <f>20*8547</f>
        <v>170940</v>
      </c>
      <c r="N49" s="33">
        <f>20*4195</f>
        <v>83900</v>
      </c>
      <c r="O49" s="33">
        <f>20*4885</f>
        <v>97700</v>
      </c>
      <c r="P49" s="33">
        <f>20*7101</f>
        <v>142020</v>
      </c>
      <c r="Q49" s="33">
        <f>21.98*9089</f>
        <v>199776.22</v>
      </c>
    </row>
    <row r="50" spans="1:17" x14ac:dyDescent="0.3">
      <c r="A50" s="43"/>
      <c r="C50" t="s">
        <v>25</v>
      </c>
      <c r="D50" s="1">
        <v>4</v>
      </c>
      <c r="E50" s="1">
        <v>1</v>
      </c>
      <c r="F50" s="1">
        <v>1</v>
      </c>
      <c r="G50" s="1">
        <v>13</v>
      </c>
      <c r="H50" s="1">
        <v>21</v>
      </c>
      <c r="I50" s="1">
        <v>12</v>
      </c>
      <c r="J50" s="1">
        <v>25</v>
      </c>
      <c r="K50" s="33">
        <f>9*40</f>
        <v>360</v>
      </c>
      <c r="L50" s="33">
        <f>1*40</f>
        <v>40</v>
      </c>
      <c r="M50" s="33">
        <f>40*2</f>
        <v>80</v>
      </c>
      <c r="N50" s="33">
        <v>0</v>
      </c>
      <c r="O50" s="33">
        <f>40*5</f>
        <v>200</v>
      </c>
      <c r="P50" s="33">
        <f>40*7</f>
        <v>280</v>
      </c>
      <c r="Q50" s="33">
        <f>43.96*16</f>
        <v>703.36</v>
      </c>
    </row>
    <row r="51" spans="1:17" x14ac:dyDescent="0.3">
      <c r="A51" s="43"/>
      <c r="C51" t="s">
        <v>26</v>
      </c>
      <c r="D51" s="1">
        <v>27</v>
      </c>
      <c r="E51" s="1">
        <v>25</v>
      </c>
      <c r="F51" s="1">
        <v>24</v>
      </c>
      <c r="G51" s="1">
        <v>34</v>
      </c>
      <c r="H51" s="1">
        <v>35</v>
      </c>
      <c r="I51" s="1">
        <v>30</v>
      </c>
      <c r="J51" s="1">
        <v>32</v>
      </c>
      <c r="K51" s="33">
        <f>9*40</f>
        <v>360</v>
      </c>
      <c r="L51" s="33">
        <f>6*40</f>
        <v>240</v>
      </c>
      <c r="M51" s="33">
        <f>40*2</f>
        <v>80</v>
      </c>
      <c r="N51" s="33">
        <f>40*10</f>
        <v>400</v>
      </c>
      <c r="O51" s="33">
        <f>40*4</f>
        <v>160</v>
      </c>
      <c r="P51" s="33">
        <f>40*16</f>
        <v>640</v>
      </c>
      <c r="Q51" s="33">
        <f>43.96*17</f>
        <v>747.32</v>
      </c>
    </row>
    <row r="52" spans="1:17" x14ac:dyDescent="0.3">
      <c r="A52" s="43"/>
      <c r="C52" t="s">
        <v>27</v>
      </c>
      <c r="D52" s="1">
        <v>86</v>
      </c>
      <c r="E52" s="1">
        <v>132</v>
      </c>
      <c r="F52" s="1">
        <v>155</v>
      </c>
      <c r="G52" s="1">
        <v>132</v>
      </c>
      <c r="H52" s="1">
        <v>115</v>
      </c>
      <c r="I52" s="1">
        <v>39</v>
      </c>
      <c r="J52" s="1">
        <v>119</v>
      </c>
      <c r="K52" s="33">
        <f>72*20</f>
        <v>1440</v>
      </c>
      <c r="L52" s="33">
        <f>184*20</f>
        <v>3680</v>
      </c>
      <c r="M52" s="33">
        <f>20*170</f>
        <v>3400</v>
      </c>
      <c r="N52" s="33">
        <f>20*34</f>
        <v>680</v>
      </c>
      <c r="O52" s="33">
        <f>20*119</f>
        <v>2380</v>
      </c>
      <c r="P52" s="33">
        <f>20*114</f>
        <v>2280</v>
      </c>
      <c r="Q52" s="33">
        <f>21.98*206</f>
        <v>4527.88</v>
      </c>
    </row>
    <row r="53" spans="1:17" x14ac:dyDescent="0.3">
      <c r="A53" s="43"/>
      <c r="C53" t="s">
        <v>28</v>
      </c>
      <c r="D53" s="1">
        <v>0</v>
      </c>
      <c r="E53" s="1">
        <v>0</v>
      </c>
      <c r="F53" s="1">
        <v>6</v>
      </c>
      <c r="G53" s="1">
        <v>0</v>
      </c>
      <c r="H53" s="1">
        <v>1</v>
      </c>
      <c r="I53" s="1">
        <v>0</v>
      </c>
      <c r="J53" s="1">
        <v>36</v>
      </c>
      <c r="K53" s="33">
        <f>12*20</f>
        <v>240</v>
      </c>
      <c r="L53" s="33">
        <f>6*20</f>
        <v>120</v>
      </c>
      <c r="M53" s="33">
        <f>20*18</f>
        <v>360</v>
      </c>
      <c r="N53" s="33">
        <v>0</v>
      </c>
      <c r="O53" s="33">
        <v>0</v>
      </c>
      <c r="P53" s="33">
        <f>20*24</f>
        <v>480</v>
      </c>
      <c r="Q53" s="33">
        <f>21.98*16</f>
        <v>351.68</v>
      </c>
    </row>
    <row r="54" spans="1:17" x14ac:dyDescent="0.3">
      <c r="A54" s="43"/>
      <c r="C54" t="s">
        <v>29</v>
      </c>
      <c r="D54" s="1">
        <v>0</v>
      </c>
      <c r="E54" s="1">
        <v>62</v>
      </c>
      <c r="F54" s="1">
        <v>110</v>
      </c>
      <c r="G54" s="1">
        <v>226</v>
      </c>
      <c r="H54" s="1">
        <v>167</v>
      </c>
      <c r="I54" s="1">
        <v>217</v>
      </c>
      <c r="J54" s="1">
        <v>257</v>
      </c>
      <c r="K54" s="33">
        <f>256*20</f>
        <v>5120</v>
      </c>
      <c r="L54" s="33">
        <f>263*20</f>
        <v>5260</v>
      </c>
      <c r="M54" s="33">
        <f>20*206</f>
        <v>4120</v>
      </c>
      <c r="N54" s="33">
        <f>20*36</f>
        <v>720</v>
      </c>
      <c r="O54" s="33">
        <f>20*163</f>
        <v>3260</v>
      </c>
      <c r="P54" s="33">
        <f>20*187</f>
        <v>3740</v>
      </c>
      <c r="Q54" s="33">
        <f>21.98*176</f>
        <v>3868.48</v>
      </c>
    </row>
    <row r="55" spans="1:17" x14ac:dyDescent="0.3">
      <c r="A55" s="43"/>
      <c r="C55" t="s">
        <v>30</v>
      </c>
      <c r="D55" s="1">
        <v>0</v>
      </c>
      <c r="E55" s="1">
        <v>0</v>
      </c>
      <c r="F55" s="1">
        <v>0</v>
      </c>
      <c r="G55" s="1">
        <v>0</v>
      </c>
      <c r="H55" s="1">
        <v>4</v>
      </c>
      <c r="I55" s="1">
        <v>0</v>
      </c>
      <c r="J55" s="1">
        <v>1</v>
      </c>
      <c r="K55" s="33">
        <v>0</v>
      </c>
      <c r="L55" s="33">
        <v>0</v>
      </c>
      <c r="M55" s="33">
        <f>20*3</f>
        <v>60</v>
      </c>
      <c r="N55" s="33">
        <v>0</v>
      </c>
      <c r="O55" s="33">
        <v>0</v>
      </c>
      <c r="P55" s="33">
        <v>0</v>
      </c>
      <c r="Q55" s="33">
        <f>21.98*8</f>
        <v>175.84</v>
      </c>
    </row>
    <row r="56" spans="1:17" x14ac:dyDescent="0.3">
      <c r="A56" s="43"/>
      <c r="C56" t="s">
        <v>31</v>
      </c>
      <c r="D56" s="1">
        <v>1</v>
      </c>
      <c r="E56" s="1">
        <v>37</v>
      </c>
      <c r="F56" s="1">
        <v>102</v>
      </c>
      <c r="G56" s="1">
        <v>57</v>
      </c>
      <c r="H56" s="1">
        <v>146</v>
      </c>
      <c r="I56" s="1">
        <v>70</v>
      </c>
      <c r="J56" s="1">
        <v>16</v>
      </c>
      <c r="K56" s="33">
        <f>51*20</f>
        <v>1020</v>
      </c>
      <c r="L56" s="33">
        <f>49*20</f>
        <v>980</v>
      </c>
      <c r="M56" s="33">
        <f>30*20</f>
        <v>600</v>
      </c>
      <c r="N56" s="33">
        <f>20*1</f>
        <v>20</v>
      </c>
      <c r="O56" s="33">
        <f>20*6</f>
        <v>120</v>
      </c>
      <c r="P56" s="33">
        <f>20*1</f>
        <v>20</v>
      </c>
      <c r="Q56" s="33">
        <f>21.98*88</f>
        <v>1934.24</v>
      </c>
    </row>
    <row r="57" spans="1:17" x14ac:dyDescent="0.3">
      <c r="A57" s="43"/>
      <c r="C57" t="s">
        <v>32</v>
      </c>
      <c r="D57" s="1">
        <v>2086</v>
      </c>
      <c r="E57" s="1">
        <v>2287</v>
      </c>
      <c r="F57" s="1">
        <v>1721</v>
      </c>
      <c r="G57" s="1">
        <v>1826</v>
      </c>
      <c r="H57" s="1">
        <v>1748</v>
      </c>
      <c r="I57" s="1">
        <v>2083</v>
      </c>
      <c r="J57" s="1">
        <v>2001</v>
      </c>
      <c r="K57" s="33">
        <f>1835*20</f>
        <v>36700</v>
      </c>
      <c r="L57" s="33">
        <f>1037*20</f>
        <v>20740</v>
      </c>
      <c r="M57" s="33">
        <f>20*1732</f>
        <v>34640</v>
      </c>
      <c r="N57" s="33">
        <f>20*154</f>
        <v>3080</v>
      </c>
      <c r="O57" s="33">
        <f>20*676</f>
        <v>13520</v>
      </c>
      <c r="P57" s="33">
        <f>20*1227</f>
        <v>24540</v>
      </c>
      <c r="Q57" s="33">
        <f>21.98*1175</f>
        <v>25826.5</v>
      </c>
    </row>
    <row r="58" spans="1:17" x14ac:dyDescent="0.3">
      <c r="A58" s="43"/>
      <c r="C58" t="s">
        <v>33</v>
      </c>
      <c r="D58" s="1">
        <v>0</v>
      </c>
      <c r="E58" s="1">
        <v>0</v>
      </c>
      <c r="F58" s="1">
        <v>1</v>
      </c>
      <c r="G58" s="1">
        <v>0</v>
      </c>
      <c r="H58" s="1">
        <v>0</v>
      </c>
      <c r="I58" s="1">
        <v>2</v>
      </c>
      <c r="J58" s="1">
        <v>1</v>
      </c>
      <c r="K58" s="33">
        <v>0</v>
      </c>
      <c r="L58" s="33">
        <v>0</v>
      </c>
      <c r="M58" s="33">
        <f>2*3</f>
        <v>6</v>
      </c>
      <c r="N58" s="33">
        <v>0</v>
      </c>
      <c r="O58" s="33">
        <v>0</v>
      </c>
      <c r="P58" s="33">
        <v>0</v>
      </c>
      <c r="Q58" s="33">
        <f>21.98*4</f>
        <v>87.92</v>
      </c>
    </row>
    <row r="59" spans="1:17" x14ac:dyDescent="0.3">
      <c r="A59" s="43"/>
      <c r="C59" t="s">
        <v>34</v>
      </c>
      <c r="D59" s="1">
        <v>0</v>
      </c>
      <c r="E59" s="1">
        <v>1</v>
      </c>
      <c r="F59" s="1">
        <v>0</v>
      </c>
      <c r="G59" s="1">
        <v>1</v>
      </c>
      <c r="H59" s="1">
        <v>1</v>
      </c>
      <c r="I59" s="1">
        <v>0</v>
      </c>
      <c r="J59" s="1">
        <v>1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</row>
    <row r="60" spans="1:17" x14ac:dyDescent="0.3">
      <c r="A60" s="43"/>
      <c r="C60" t="s">
        <v>35</v>
      </c>
      <c r="D60" s="1">
        <v>5</v>
      </c>
      <c r="E60" s="1">
        <v>10</v>
      </c>
      <c r="F60" s="1">
        <v>8</v>
      </c>
      <c r="G60" s="1">
        <v>13</v>
      </c>
      <c r="H60" s="1">
        <v>6</v>
      </c>
      <c r="I60" s="1">
        <v>9</v>
      </c>
      <c r="J60" s="1">
        <v>15</v>
      </c>
      <c r="K60" s="33">
        <f>13*20</f>
        <v>260</v>
      </c>
      <c r="L60" s="33">
        <f>7*20</f>
        <v>140</v>
      </c>
      <c r="M60" s="33">
        <v>0</v>
      </c>
      <c r="N60" s="33">
        <f>20*1</f>
        <v>20</v>
      </c>
      <c r="O60" s="33">
        <f>20*1</f>
        <v>20</v>
      </c>
      <c r="P60" s="33">
        <f>20*2</f>
        <v>40</v>
      </c>
      <c r="Q60" s="33">
        <v>0</v>
      </c>
    </row>
    <row r="61" spans="1:17" x14ac:dyDescent="0.3">
      <c r="A61" s="43"/>
      <c r="C61" t="s">
        <v>36</v>
      </c>
      <c r="D61" s="1">
        <v>267</v>
      </c>
      <c r="E61" s="1">
        <v>333</v>
      </c>
      <c r="F61" s="1">
        <v>352</v>
      </c>
      <c r="G61" s="1">
        <v>215</v>
      </c>
      <c r="H61" s="1">
        <v>417</v>
      </c>
      <c r="I61" s="1">
        <v>298</v>
      </c>
      <c r="J61" s="1">
        <v>321</v>
      </c>
      <c r="K61" s="33">
        <f>241*20</f>
        <v>4820</v>
      </c>
      <c r="L61" s="33">
        <f>242*20</f>
        <v>4840</v>
      </c>
      <c r="M61" s="33">
        <f>20*360</f>
        <v>7200</v>
      </c>
      <c r="N61" s="33">
        <f>20*18</f>
        <v>360</v>
      </c>
      <c r="O61" s="33">
        <f>20*57</f>
        <v>1140</v>
      </c>
      <c r="P61" s="33">
        <v>0</v>
      </c>
      <c r="Q61" s="33">
        <f>21.98*198</f>
        <v>4352.04</v>
      </c>
    </row>
    <row r="62" spans="1:17" x14ac:dyDescent="0.3">
      <c r="A62" s="43"/>
      <c r="C62" t="s">
        <v>37</v>
      </c>
      <c r="D62" s="1">
        <v>29</v>
      </c>
      <c r="E62" s="1">
        <v>40</v>
      </c>
      <c r="F62" s="1">
        <v>505</v>
      </c>
      <c r="G62" s="1">
        <v>506</v>
      </c>
      <c r="H62" s="1">
        <v>466</v>
      </c>
      <c r="I62" s="1">
        <v>499</v>
      </c>
      <c r="J62" s="1">
        <v>710</v>
      </c>
      <c r="K62" s="33">
        <f>559*20</f>
        <v>11180</v>
      </c>
      <c r="L62" s="33">
        <f>694*20</f>
        <v>13880</v>
      </c>
      <c r="M62" s="33">
        <f>20*536</f>
        <v>10720</v>
      </c>
      <c r="N62" s="33">
        <f>20*80</f>
        <v>1600</v>
      </c>
      <c r="O62" s="33">
        <f>20*84</f>
        <v>1680</v>
      </c>
      <c r="P62" s="33">
        <f>20*380</f>
        <v>7600</v>
      </c>
      <c r="Q62" s="33">
        <f>21.98*392</f>
        <v>8616.16</v>
      </c>
    </row>
    <row r="63" spans="1:17" x14ac:dyDescent="0.3">
      <c r="A63" s="43"/>
      <c r="C63" t="s">
        <v>38</v>
      </c>
      <c r="D63" s="1">
        <v>529</v>
      </c>
      <c r="E63" s="1">
        <v>285</v>
      </c>
      <c r="F63" s="1">
        <v>188</v>
      </c>
      <c r="G63" s="1">
        <v>231</v>
      </c>
      <c r="H63" s="1">
        <v>185</v>
      </c>
      <c r="I63" s="1">
        <v>242</v>
      </c>
      <c r="J63" s="1">
        <v>258</v>
      </c>
      <c r="K63" s="33">
        <f>154*20</f>
        <v>3080</v>
      </c>
      <c r="L63" s="33">
        <f>5*20</f>
        <v>100</v>
      </c>
      <c r="M63" s="33">
        <f>20*15</f>
        <v>300</v>
      </c>
      <c r="N63" s="33">
        <f>20*8</f>
        <v>160</v>
      </c>
      <c r="O63" s="33">
        <f>20*4</f>
        <v>80</v>
      </c>
      <c r="P63" s="33">
        <f>20*6</f>
        <v>120</v>
      </c>
      <c r="Q63" s="33">
        <f>21.98*9</f>
        <v>197.82</v>
      </c>
    </row>
    <row r="64" spans="1:17" x14ac:dyDescent="0.3">
      <c r="A64" s="43"/>
      <c r="C64" t="s">
        <v>39</v>
      </c>
      <c r="D64" s="1">
        <v>0</v>
      </c>
      <c r="E64" s="1">
        <v>0</v>
      </c>
      <c r="F64" s="1">
        <v>2</v>
      </c>
      <c r="G64" s="1">
        <v>5</v>
      </c>
      <c r="H64" s="1">
        <v>1</v>
      </c>
      <c r="I64" s="1">
        <v>2</v>
      </c>
      <c r="J64" s="1">
        <v>5</v>
      </c>
      <c r="K64" s="33">
        <f>11*20</f>
        <v>220</v>
      </c>
      <c r="L64" s="33">
        <v>0</v>
      </c>
      <c r="M64" s="33">
        <f>20*4</f>
        <v>80</v>
      </c>
      <c r="N64" s="33">
        <v>0</v>
      </c>
      <c r="O64" s="33">
        <f>20*1</f>
        <v>20</v>
      </c>
      <c r="P64" s="33">
        <f>20*13</f>
        <v>260</v>
      </c>
      <c r="Q64" s="33">
        <f>21.98*23</f>
        <v>505.54</v>
      </c>
    </row>
    <row r="65" spans="1:17" x14ac:dyDescent="0.3">
      <c r="A65" s="43"/>
      <c r="C65" t="s">
        <v>40</v>
      </c>
      <c r="D65" s="1">
        <v>2</v>
      </c>
      <c r="E65" s="1">
        <v>3</v>
      </c>
      <c r="F65" s="1">
        <v>0</v>
      </c>
      <c r="G65" s="1">
        <v>0</v>
      </c>
      <c r="H65" s="1">
        <v>0</v>
      </c>
      <c r="I65" s="1">
        <v>0</v>
      </c>
      <c r="J65" s="1">
        <v>4</v>
      </c>
      <c r="K65" s="33">
        <f>5*20</f>
        <v>100</v>
      </c>
      <c r="L65" s="33">
        <f>2*20</f>
        <v>40</v>
      </c>
      <c r="M65" s="33">
        <f>20*1</f>
        <v>20</v>
      </c>
      <c r="N65" s="33">
        <v>0</v>
      </c>
      <c r="O65" s="33">
        <v>0</v>
      </c>
      <c r="P65" s="33">
        <v>0</v>
      </c>
      <c r="Q65" s="33">
        <v>0</v>
      </c>
    </row>
    <row r="66" spans="1:17" x14ac:dyDescent="0.3">
      <c r="A66" s="43"/>
      <c r="C66" t="s">
        <v>41</v>
      </c>
      <c r="D66" s="1">
        <v>4</v>
      </c>
      <c r="E66" s="1">
        <v>12</v>
      </c>
      <c r="F66" s="1">
        <v>14</v>
      </c>
      <c r="G66" s="1">
        <v>13</v>
      </c>
      <c r="H66" s="1">
        <v>0</v>
      </c>
      <c r="I66" s="1">
        <v>3</v>
      </c>
      <c r="J66" s="1">
        <v>7</v>
      </c>
      <c r="K66" s="33">
        <f>11*20</f>
        <v>220</v>
      </c>
      <c r="L66" s="33">
        <f>4*20</f>
        <v>80</v>
      </c>
      <c r="M66" s="33">
        <f>20*1</f>
        <v>20</v>
      </c>
      <c r="N66" s="33">
        <f>20*3</f>
        <v>60</v>
      </c>
      <c r="O66" s="33">
        <v>0</v>
      </c>
      <c r="P66" s="33">
        <f>20*8</f>
        <v>160</v>
      </c>
      <c r="Q66" s="33">
        <f>21.98*23</f>
        <v>505.54</v>
      </c>
    </row>
    <row r="67" spans="1:17" x14ac:dyDescent="0.3">
      <c r="A67" s="43"/>
      <c r="C67" t="s">
        <v>42</v>
      </c>
      <c r="D67" s="1">
        <v>0</v>
      </c>
      <c r="E67" s="1">
        <v>0</v>
      </c>
      <c r="F67" s="1">
        <v>1</v>
      </c>
      <c r="G67" s="1">
        <v>0</v>
      </c>
      <c r="H67" s="1">
        <v>0</v>
      </c>
      <c r="I67" s="1">
        <v>0</v>
      </c>
      <c r="J67" s="1">
        <v>0</v>
      </c>
      <c r="K67" s="33">
        <v>0</v>
      </c>
      <c r="L67" s="33">
        <v>0</v>
      </c>
      <c r="M67" s="33">
        <f>20*2</f>
        <v>40</v>
      </c>
      <c r="N67" s="33">
        <v>0</v>
      </c>
      <c r="O67" s="33">
        <v>0</v>
      </c>
      <c r="P67" s="33">
        <v>0</v>
      </c>
      <c r="Q67" s="33">
        <v>0</v>
      </c>
    </row>
    <row r="68" spans="1:17" x14ac:dyDescent="0.3">
      <c r="A68" s="43"/>
      <c r="C68" t="s">
        <v>43</v>
      </c>
      <c r="D68" s="1">
        <v>35</v>
      </c>
      <c r="E68" s="1">
        <v>72</v>
      </c>
      <c r="F68" s="1">
        <v>83</v>
      </c>
      <c r="G68" s="1">
        <v>74</v>
      </c>
      <c r="H68" s="1">
        <v>80</v>
      </c>
      <c r="I68" s="1">
        <v>85</v>
      </c>
      <c r="J68" s="1">
        <v>81</v>
      </c>
      <c r="K68" s="33">
        <f>111*20</f>
        <v>2220</v>
      </c>
      <c r="L68" s="33">
        <f>106*20</f>
        <v>2120</v>
      </c>
      <c r="M68" s="33">
        <f>20*109</f>
        <v>2180</v>
      </c>
      <c r="N68" s="33">
        <f>20*30</f>
        <v>600</v>
      </c>
      <c r="O68" s="33">
        <f>20*96</f>
        <v>1920</v>
      </c>
      <c r="P68" s="33">
        <f>20*98</f>
        <v>1960</v>
      </c>
      <c r="Q68" s="33">
        <f>21.98*117</f>
        <v>2571.66</v>
      </c>
    </row>
    <row r="69" spans="1:17" x14ac:dyDescent="0.3">
      <c r="A69" s="43"/>
      <c r="C69" t="s">
        <v>44</v>
      </c>
      <c r="D69" s="1">
        <v>66</v>
      </c>
      <c r="E69" s="1">
        <v>34</v>
      </c>
      <c r="F69" s="1">
        <v>85</v>
      </c>
      <c r="G69" s="1">
        <v>60</v>
      </c>
      <c r="H69" s="1">
        <v>108</v>
      </c>
      <c r="I69" s="1">
        <v>97</v>
      </c>
      <c r="J69" s="1">
        <v>124</v>
      </c>
      <c r="K69" s="33">
        <f>89*20</f>
        <v>1780</v>
      </c>
      <c r="L69" s="33">
        <f>137*20</f>
        <v>2740</v>
      </c>
      <c r="M69" s="33">
        <f>20*184</f>
        <v>3680</v>
      </c>
      <c r="N69" s="33">
        <f>20*233</f>
        <v>4660</v>
      </c>
      <c r="O69" s="33">
        <f>20*187</f>
        <v>3740</v>
      </c>
      <c r="P69" s="33">
        <f>20*228</f>
        <v>4560</v>
      </c>
      <c r="Q69" s="33">
        <f>21.98*216</f>
        <v>4747.68</v>
      </c>
    </row>
    <row r="70" spans="1:17" x14ac:dyDescent="0.3">
      <c r="A70" s="43"/>
      <c r="C70" t="s">
        <v>47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33">
        <f>2*20</f>
        <v>40</v>
      </c>
      <c r="L70" s="33">
        <v>0</v>
      </c>
      <c r="M70" s="33">
        <v>0</v>
      </c>
      <c r="N70" s="33">
        <v>0</v>
      </c>
      <c r="O70" s="33">
        <v>0</v>
      </c>
      <c r="P70" s="33">
        <f>20*2</f>
        <v>40</v>
      </c>
      <c r="Q70" s="33">
        <v>0</v>
      </c>
    </row>
    <row r="71" spans="1:17" x14ac:dyDescent="0.3">
      <c r="A71" s="43"/>
      <c r="C71" t="s">
        <v>48</v>
      </c>
      <c r="D71" s="1">
        <v>75</v>
      </c>
      <c r="E71" s="1">
        <v>30</v>
      </c>
      <c r="F71" s="1">
        <v>31</v>
      </c>
      <c r="G71" s="1">
        <v>24</v>
      </c>
      <c r="H71" s="1">
        <v>23</v>
      </c>
      <c r="I71" s="1">
        <v>13</v>
      </c>
      <c r="J71" s="1">
        <v>11</v>
      </c>
      <c r="K71" s="33">
        <f>42*20</f>
        <v>840</v>
      </c>
      <c r="L71" s="33">
        <f>23*20</f>
        <v>460</v>
      </c>
      <c r="M71" s="33">
        <f>20*28</f>
        <v>560</v>
      </c>
      <c r="N71" s="33">
        <f>20*19</f>
        <v>380</v>
      </c>
      <c r="O71" s="33">
        <v>0</v>
      </c>
      <c r="P71" s="33">
        <f>20*19</f>
        <v>380</v>
      </c>
      <c r="Q71" s="33">
        <f>21.98*32</f>
        <v>703.36</v>
      </c>
    </row>
    <row r="72" spans="1:17" x14ac:dyDescent="0.3">
      <c r="A72" s="43"/>
      <c r="C72" t="s">
        <v>49</v>
      </c>
      <c r="D72" s="1">
        <v>2</v>
      </c>
      <c r="E72" s="1">
        <v>0</v>
      </c>
      <c r="F72" s="1">
        <v>0</v>
      </c>
      <c r="G72" s="1">
        <v>2</v>
      </c>
      <c r="H72" s="1">
        <v>49</v>
      </c>
      <c r="I72" s="1">
        <v>0</v>
      </c>
      <c r="J72" s="1">
        <v>0</v>
      </c>
      <c r="K72" s="33">
        <v>0</v>
      </c>
      <c r="L72" s="33">
        <v>0</v>
      </c>
      <c r="M72" s="33">
        <v>0</v>
      </c>
      <c r="N72" s="33">
        <v>0</v>
      </c>
      <c r="O72" s="33">
        <v>0</v>
      </c>
      <c r="P72" s="33">
        <f>20*12</f>
        <v>240</v>
      </c>
      <c r="Q72" s="33">
        <f>21.98*9</f>
        <v>197.82</v>
      </c>
    </row>
    <row r="73" spans="1:17" x14ac:dyDescent="0.3">
      <c r="A73" s="43"/>
      <c r="C73" t="s">
        <v>50</v>
      </c>
      <c r="D73" s="1">
        <v>16</v>
      </c>
      <c r="E73" s="1">
        <v>24</v>
      </c>
      <c r="F73" s="1">
        <v>30</v>
      </c>
      <c r="G73" s="1">
        <v>20</v>
      </c>
      <c r="H73" s="1">
        <v>29</v>
      </c>
      <c r="I73" s="1">
        <v>7</v>
      </c>
      <c r="J73" s="1">
        <v>17</v>
      </c>
      <c r="K73" s="33">
        <f>16*40</f>
        <v>640</v>
      </c>
      <c r="L73" s="33">
        <f>3*40</f>
        <v>120</v>
      </c>
      <c r="M73" s="33">
        <f>40*12</f>
        <v>480</v>
      </c>
      <c r="N73" s="33">
        <v>0</v>
      </c>
      <c r="O73" s="33">
        <f>40*2</f>
        <v>80</v>
      </c>
      <c r="P73" s="33">
        <f>40*1</f>
        <v>40</v>
      </c>
      <c r="Q73" s="33">
        <f>43.96*1</f>
        <v>43.96</v>
      </c>
    </row>
    <row r="74" spans="1:17" x14ac:dyDescent="0.3">
      <c r="A74" s="43"/>
      <c r="C74" t="s">
        <v>51</v>
      </c>
      <c r="D74" s="1">
        <v>216</v>
      </c>
      <c r="E74" s="1">
        <v>191</v>
      </c>
      <c r="F74" s="1">
        <v>14</v>
      </c>
      <c r="G74" s="1">
        <v>13</v>
      </c>
      <c r="H74" s="1">
        <v>12</v>
      </c>
      <c r="I74" s="1">
        <v>13</v>
      </c>
      <c r="J74" s="1">
        <v>9</v>
      </c>
      <c r="K74" s="33">
        <f>6*40</f>
        <v>240</v>
      </c>
      <c r="L74" s="33">
        <f>7*40</f>
        <v>280</v>
      </c>
      <c r="M74" s="33">
        <f>40*12</f>
        <v>480</v>
      </c>
      <c r="N74" s="33">
        <f>40*2</f>
        <v>80</v>
      </c>
      <c r="O74" s="33">
        <f>40*3</f>
        <v>120</v>
      </c>
      <c r="P74" s="33">
        <f>40*10</f>
        <v>400</v>
      </c>
      <c r="Q74" s="33">
        <f>43.96*3</f>
        <v>131.88</v>
      </c>
    </row>
    <row r="75" spans="1:17" x14ac:dyDescent="0.3">
      <c r="A75" s="43"/>
      <c r="C75" t="s">
        <v>52</v>
      </c>
      <c r="D75" s="1">
        <v>1</v>
      </c>
      <c r="E75" s="1">
        <v>1</v>
      </c>
      <c r="F75" s="1">
        <v>54</v>
      </c>
      <c r="G75" s="1">
        <v>94</v>
      </c>
      <c r="H75" s="1">
        <v>59</v>
      </c>
      <c r="I75" s="1">
        <v>60</v>
      </c>
      <c r="J75" s="1">
        <v>41</v>
      </c>
      <c r="K75" s="33">
        <f>78*40</f>
        <v>3120</v>
      </c>
      <c r="L75" s="33">
        <f>19*40</f>
        <v>760</v>
      </c>
      <c r="M75" s="33">
        <f>40*46</f>
        <v>1840</v>
      </c>
      <c r="N75" s="33">
        <f>40*11</f>
        <v>440</v>
      </c>
      <c r="O75" s="33">
        <f>40*24</f>
        <v>960</v>
      </c>
      <c r="P75" s="33">
        <f>40*91</f>
        <v>3640</v>
      </c>
      <c r="Q75" s="33">
        <f>43.96*66</f>
        <v>2901.36</v>
      </c>
    </row>
    <row r="76" spans="1:17" x14ac:dyDescent="0.3">
      <c r="A76" s="43"/>
      <c r="C76" t="s">
        <v>53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110</v>
      </c>
      <c r="J76" s="1">
        <v>936</v>
      </c>
      <c r="K76" s="33">
        <f>959*20</f>
        <v>19180</v>
      </c>
      <c r="L76" s="33">
        <f>1010*20</f>
        <v>20200</v>
      </c>
      <c r="M76" s="33">
        <f>20*1015</f>
        <v>20300</v>
      </c>
      <c r="N76" s="33">
        <f>20*574</f>
        <v>11480</v>
      </c>
      <c r="O76" s="33">
        <f>20*753</f>
        <v>15060</v>
      </c>
      <c r="P76" s="33">
        <f>20*963</f>
        <v>19260</v>
      </c>
      <c r="Q76" s="33">
        <f>21.98*998</f>
        <v>21936.04</v>
      </c>
    </row>
    <row r="77" spans="1:17" x14ac:dyDescent="0.3">
      <c r="A77" s="43"/>
      <c r="C77" t="s">
        <v>54</v>
      </c>
      <c r="D77" s="1">
        <v>1414</v>
      </c>
      <c r="E77" s="1">
        <v>1201</v>
      </c>
      <c r="F77" s="1">
        <v>1232</v>
      </c>
      <c r="G77" s="1">
        <v>1250</v>
      </c>
      <c r="H77" s="1">
        <v>1591</v>
      </c>
      <c r="I77" s="1">
        <v>1487</v>
      </c>
      <c r="J77" s="1">
        <v>1502</v>
      </c>
      <c r="K77" s="33">
        <f>1052*20</f>
        <v>21040</v>
      </c>
      <c r="L77" s="33">
        <f>1314*20</f>
        <v>26280</v>
      </c>
      <c r="M77" s="33">
        <f>20*1120</f>
        <v>22400</v>
      </c>
      <c r="N77" s="33">
        <f>20*243</f>
        <v>4860</v>
      </c>
      <c r="O77" s="33">
        <f>20*501</f>
        <v>10020</v>
      </c>
      <c r="P77" s="33">
        <f>20*866</f>
        <v>17320</v>
      </c>
      <c r="Q77" s="33">
        <f>21.98*702</f>
        <v>15429.960000000001</v>
      </c>
    </row>
    <row r="78" spans="1:17" x14ac:dyDescent="0.3">
      <c r="A78" s="43"/>
      <c r="C78" t="s">
        <v>55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1</v>
      </c>
      <c r="K78" s="33">
        <v>0</v>
      </c>
      <c r="L78" s="33">
        <v>0</v>
      </c>
      <c r="M78" s="33">
        <v>0</v>
      </c>
      <c r="N78" s="33">
        <v>0</v>
      </c>
      <c r="O78" s="33">
        <v>0</v>
      </c>
      <c r="P78" s="33">
        <f>20*18</f>
        <v>360</v>
      </c>
      <c r="Q78" s="33">
        <v>0</v>
      </c>
    </row>
    <row r="79" spans="1:17" x14ac:dyDescent="0.3">
      <c r="A79" s="43"/>
      <c r="C79" t="s">
        <v>58</v>
      </c>
      <c r="D79" s="1">
        <v>3</v>
      </c>
      <c r="E79" s="1">
        <v>40</v>
      </c>
      <c r="F79" s="1">
        <v>0</v>
      </c>
      <c r="G79" s="1">
        <v>24</v>
      </c>
      <c r="H79" s="1">
        <v>0</v>
      </c>
      <c r="I79" s="1">
        <v>39</v>
      </c>
      <c r="J79" s="1">
        <v>0</v>
      </c>
      <c r="K79" s="33">
        <v>0</v>
      </c>
      <c r="L79" s="33">
        <f>2*20</f>
        <v>40</v>
      </c>
      <c r="M79" s="33">
        <f>20*3</f>
        <v>60</v>
      </c>
      <c r="N79" s="33">
        <v>0</v>
      </c>
      <c r="O79" s="33">
        <v>0</v>
      </c>
      <c r="P79" s="33">
        <f>20*5</f>
        <v>100</v>
      </c>
      <c r="Q79" s="33">
        <f>21.98*8</f>
        <v>175.84</v>
      </c>
    </row>
    <row r="80" spans="1:17" x14ac:dyDescent="0.3">
      <c r="A80" s="43"/>
      <c r="C80" t="s">
        <v>59</v>
      </c>
      <c r="D80" s="1">
        <v>20</v>
      </c>
      <c r="E80" s="1">
        <v>53</v>
      </c>
      <c r="F80" s="1">
        <v>66</v>
      </c>
      <c r="G80" s="1">
        <v>128</v>
      </c>
      <c r="H80" s="1">
        <v>143</v>
      </c>
      <c r="I80" s="1">
        <v>177</v>
      </c>
      <c r="J80" s="1">
        <v>171</v>
      </c>
      <c r="K80" s="33">
        <f>249*20</f>
        <v>4980</v>
      </c>
      <c r="L80" s="33">
        <f>245*20</f>
        <v>4900</v>
      </c>
      <c r="M80" s="33">
        <f>20*230</f>
        <v>4600</v>
      </c>
      <c r="N80" s="33">
        <v>0</v>
      </c>
      <c r="O80" s="33">
        <f>20*211</f>
        <v>4220</v>
      </c>
      <c r="P80" s="33">
        <f>20*215</f>
        <v>4300</v>
      </c>
      <c r="Q80" s="33">
        <f>21.98*252</f>
        <v>5538.96</v>
      </c>
    </row>
    <row r="81" spans="1:17" x14ac:dyDescent="0.3">
      <c r="A81" s="43"/>
      <c r="C81" t="s">
        <v>60</v>
      </c>
      <c r="D81" s="1">
        <v>360</v>
      </c>
      <c r="E81" s="1">
        <v>345</v>
      </c>
      <c r="F81" s="1">
        <v>218</v>
      </c>
      <c r="G81" s="1">
        <v>277</v>
      </c>
      <c r="H81" s="1">
        <v>287</v>
      </c>
      <c r="I81" s="1">
        <v>239</v>
      </c>
      <c r="J81" s="1">
        <v>230</v>
      </c>
      <c r="K81" s="33">
        <f>210*20</f>
        <v>4200</v>
      </c>
      <c r="L81" s="33">
        <f>276*20</f>
        <v>5520</v>
      </c>
      <c r="M81" s="33">
        <f>20*245</f>
        <v>4900</v>
      </c>
      <c r="N81" s="33">
        <v>0</v>
      </c>
      <c r="O81" s="33">
        <f>20*63</f>
        <v>1260</v>
      </c>
      <c r="P81" s="33">
        <f>20*146</f>
        <v>2920</v>
      </c>
      <c r="Q81" s="33">
        <f>21.98*86</f>
        <v>1890.28</v>
      </c>
    </row>
    <row r="82" spans="1:17" x14ac:dyDescent="0.3">
      <c r="A82" s="43"/>
      <c r="C82" t="s">
        <v>61</v>
      </c>
      <c r="D82" s="1">
        <v>27</v>
      </c>
      <c r="E82" s="1">
        <v>93</v>
      </c>
      <c r="F82" s="1">
        <v>104</v>
      </c>
      <c r="G82" s="1">
        <v>268</v>
      </c>
      <c r="H82" s="1">
        <v>164</v>
      </c>
      <c r="I82" s="1">
        <v>162</v>
      </c>
      <c r="J82" s="1">
        <v>118</v>
      </c>
      <c r="K82" s="33">
        <f>140*20</f>
        <v>2800</v>
      </c>
      <c r="L82" s="33">
        <f>155*20</f>
        <v>3100</v>
      </c>
      <c r="M82" s="33">
        <f>20*199</f>
        <v>3980</v>
      </c>
      <c r="N82" s="33">
        <f>20*42</f>
        <v>840</v>
      </c>
      <c r="O82" s="33">
        <f>20*189</f>
        <v>3780</v>
      </c>
      <c r="P82" s="33">
        <f>20*224</f>
        <v>4480</v>
      </c>
      <c r="Q82" s="33">
        <f>21.98*125</f>
        <v>2747.5</v>
      </c>
    </row>
    <row r="83" spans="1:17" x14ac:dyDescent="0.3">
      <c r="A83" s="43"/>
      <c r="C83" t="s">
        <v>64</v>
      </c>
      <c r="D83" s="1">
        <v>2925</v>
      </c>
      <c r="E83" s="1">
        <v>2800</v>
      </c>
      <c r="F83" s="1">
        <v>2318</v>
      </c>
      <c r="G83" s="1">
        <v>3425</v>
      </c>
      <c r="H83" s="1">
        <v>3480</v>
      </c>
      <c r="I83" s="1">
        <v>3646</v>
      </c>
      <c r="J83" s="1">
        <v>3629</v>
      </c>
      <c r="K83" s="33">
        <f>3446*20</f>
        <v>68920</v>
      </c>
      <c r="L83" s="33">
        <f>2289*20</f>
        <v>45780</v>
      </c>
      <c r="M83" s="33">
        <f>20*2148</f>
        <v>42960</v>
      </c>
      <c r="N83" s="33">
        <f>20*237</f>
        <v>4740</v>
      </c>
      <c r="O83" s="33">
        <f>20*567</f>
        <v>11340</v>
      </c>
      <c r="P83" s="33">
        <f>20*1285</f>
        <v>25700</v>
      </c>
      <c r="Q83" s="33">
        <f>21.98*1282</f>
        <v>28178.36</v>
      </c>
    </row>
    <row r="84" spans="1:17" x14ac:dyDescent="0.3">
      <c r="A84" s="43"/>
      <c r="C84" t="s">
        <v>65</v>
      </c>
      <c r="D84" s="1">
        <v>1884</v>
      </c>
      <c r="E84" s="1">
        <v>1405</v>
      </c>
      <c r="F84" s="1">
        <v>1627</v>
      </c>
      <c r="G84" s="1">
        <v>1896</v>
      </c>
      <c r="H84" s="1">
        <v>1978</v>
      </c>
      <c r="I84" s="1">
        <v>2339</v>
      </c>
      <c r="J84" s="1">
        <v>2686</v>
      </c>
      <c r="K84" s="33">
        <f>2383*20</f>
        <v>47660</v>
      </c>
      <c r="L84" s="33">
        <f>3164*20</f>
        <v>63280</v>
      </c>
      <c r="M84" s="33">
        <f>20*1900</f>
        <v>38000</v>
      </c>
      <c r="N84" s="33">
        <f>20*215</f>
        <v>4300</v>
      </c>
      <c r="O84" s="33">
        <f>20*645</f>
        <v>12900</v>
      </c>
      <c r="P84" s="33">
        <f>20*1702</f>
        <v>34040</v>
      </c>
      <c r="Q84" s="33">
        <f>21.98*1852</f>
        <v>40706.959999999999</v>
      </c>
    </row>
    <row r="85" spans="1:17" x14ac:dyDescent="0.3">
      <c r="A85" s="43"/>
      <c r="C85" t="s">
        <v>66</v>
      </c>
      <c r="D85" s="1">
        <v>276</v>
      </c>
      <c r="E85" s="1">
        <v>227</v>
      </c>
      <c r="F85" s="1">
        <v>229</v>
      </c>
      <c r="G85" s="1">
        <v>200</v>
      </c>
      <c r="H85" s="1">
        <v>243</v>
      </c>
      <c r="I85" s="1">
        <v>283</v>
      </c>
      <c r="J85" s="1">
        <v>212</v>
      </c>
      <c r="K85" s="33">
        <f>228*20</f>
        <v>4560</v>
      </c>
      <c r="L85" s="33">
        <f>263*20</f>
        <v>5260</v>
      </c>
      <c r="M85" s="33">
        <f>20*262</f>
        <v>5240</v>
      </c>
      <c r="N85" s="33">
        <f>20*194</f>
        <v>3880</v>
      </c>
      <c r="O85" s="33">
        <f>20*198</f>
        <v>3960</v>
      </c>
      <c r="P85" s="33">
        <f>20*236</f>
        <v>4720</v>
      </c>
      <c r="Q85" s="33">
        <f>21.98*259</f>
        <v>5692.82</v>
      </c>
    </row>
    <row r="86" spans="1:17" x14ac:dyDescent="0.3">
      <c r="A86" s="43"/>
      <c r="C86" t="s">
        <v>67</v>
      </c>
      <c r="D86" s="1">
        <v>852</v>
      </c>
      <c r="E86" s="1">
        <v>783</v>
      </c>
      <c r="F86" s="1">
        <v>805</v>
      </c>
      <c r="G86" s="1">
        <v>900</v>
      </c>
      <c r="H86" s="1">
        <v>883</v>
      </c>
      <c r="I86" s="1">
        <v>864</v>
      </c>
      <c r="J86" s="1">
        <v>1195</v>
      </c>
      <c r="K86" s="33">
        <f>1075*20</f>
        <v>21500</v>
      </c>
      <c r="L86" s="33">
        <f>1141*20</f>
        <v>22820</v>
      </c>
      <c r="M86" s="33">
        <f>20*1253</f>
        <v>25060</v>
      </c>
      <c r="N86" s="33">
        <f>20*732</f>
        <v>14640</v>
      </c>
      <c r="O86" s="33">
        <f>20*654</f>
        <v>13080</v>
      </c>
      <c r="P86" s="33">
        <f>20*1029</f>
        <v>20580</v>
      </c>
      <c r="Q86" s="33">
        <f>21.98*957</f>
        <v>21034.86</v>
      </c>
    </row>
    <row r="87" spans="1:17" x14ac:dyDescent="0.3">
      <c r="A87" s="43"/>
      <c r="C87" t="s">
        <v>69</v>
      </c>
      <c r="D87" s="1">
        <v>198</v>
      </c>
      <c r="E87" s="1">
        <v>77</v>
      </c>
      <c r="F87" s="1">
        <v>113</v>
      </c>
      <c r="G87" s="1">
        <v>168</v>
      </c>
      <c r="H87" s="1">
        <v>149</v>
      </c>
      <c r="I87" s="1">
        <v>128</v>
      </c>
      <c r="J87" s="1">
        <v>166</v>
      </c>
      <c r="K87" s="33">
        <f>133*20</f>
        <v>2660</v>
      </c>
      <c r="L87" s="33">
        <f>95*20</f>
        <v>1900</v>
      </c>
      <c r="M87" s="33">
        <f>20*137</f>
        <v>2740</v>
      </c>
      <c r="N87" s="33">
        <f>20*44</f>
        <v>880</v>
      </c>
      <c r="O87" s="33">
        <f>20*76</f>
        <v>1520</v>
      </c>
      <c r="P87" s="33">
        <f>20*114</f>
        <v>2280</v>
      </c>
      <c r="Q87" s="33">
        <f>21.98*101</f>
        <v>2219.98</v>
      </c>
    </row>
    <row r="88" spans="1:17" x14ac:dyDescent="0.3">
      <c r="A88" s="43"/>
      <c r="C88" t="s">
        <v>73</v>
      </c>
      <c r="D88" s="1">
        <v>1</v>
      </c>
      <c r="E88" s="1">
        <v>0</v>
      </c>
      <c r="F88" s="1">
        <v>5</v>
      </c>
      <c r="G88" s="1">
        <v>6</v>
      </c>
      <c r="H88" s="1">
        <v>8</v>
      </c>
      <c r="I88" s="1">
        <v>6</v>
      </c>
      <c r="J88" s="1">
        <v>2</v>
      </c>
      <c r="K88" s="33">
        <f>6*40</f>
        <v>240</v>
      </c>
      <c r="L88" s="33">
        <f>1*40</f>
        <v>40</v>
      </c>
      <c r="M88" s="33">
        <f>40*8</f>
        <v>320</v>
      </c>
      <c r="N88" s="33">
        <v>0</v>
      </c>
      <c r="O88" s="33">
        <f>40*2</f>
        <v>80</v>
      </c>
      <c r="P88" s="33">
        <f>40*4</f>
        <v>160</v>
      </c>
      <c r="Q88" s="33">
        <f>43.96*1</f>
        <v>43.96</v>
      </c>
    </row>
    <row r="89" spans="1:17" x14ac:dyDescent="0.3">
      <c r="A89" s="43"/>
      <c r="C89" t="s">
        <v>74</v>
      </c>
      <c r="D89" s="1">
        <v>0</v>
      </c>
      <c r="E89" s="1">
        <v>0</v>
      </c>
      <c r="F89" s="1">
        <v>0</v>
      </c>
      <c r="G89" s="1">
        <v>0</v>
      </c>
      <c r="H89" s="1">
        <v>1</v>
      </c>
      <c r="I89" s="1">
        <v>0</v>
      </c>
      <c r="J89" s="1">
        <v>1</v>
      </c>
      <c r="K89" s="33">
        <f>3*40</f>
        <v>120</v>
      </c>
      <c r="L89" s="33">
        <v>0</v>
      </c>
      <c r="M89" s="33">
        <v>0</v>
      </c>
      <c r="N89" s="33">
        <v>0</v>
      </c>
      <c r="O89" s="33">
        <v>0</v>
      </c>
      <c r="P89" s="33">
        <v>0</v>
      </c>
      <c r="Q89" s="33">
        <v>0</v>
      </c>
    </row>
    <row r="90" spans="1:17" x14ac:dyDescent="0.3">
      <c r="A90" s="43"/>
      <c r="C90" t="s">
        <v>75</v>
      </c>
      <c r="D90" s="1">
        <v>127</v>
      </c>
      <c r="E90" s="1">
        <v>149</v>
      </c>
      <c r="F90" s="1">
        <v>50</v>
      </c>
      <c r="G90" s="1">
        <v>36</v>
      </c>
      <c r="H90" s="1">
        <v>45</v>
      </c>
      <c r="I90" s="1">
        <v>55</v>
      </c>
      <c r="J90" s="1">
        <v>121</v>
      </c>
      <c r="K90" s="33">
        <f>91*40</f>
        <v>3640</v>
      </c>
      <c r="L90" s="33">
        <f>18*40</f>
        <v>720</v>
      </c>
      <c r="M90" s="33">
        <f>40*36</f>
        <v>1440</v>
      </c>
      <c r="N90" s="33">
        <f>40*5</f>
        <v>200</v>
      </c>
      <c r="O90" s="33">
        <f>40*12</f>
        <v>480</v>
      </c>
      <c r="P90" s="33">
        <f>40*21</f>
        <v>840</v>
      </c>
      <c r="Q90" s="33">
        <f>43.96*8</f>
        <v>351.68</v>
      </c>
    </row>
    <row r="91" spans="1:17" x14ac:dyDescent="0.3">
      <c r="A91" s="43"/>
      <c r="C91" t="s">
        <v>76</v>
      </c>
      <c r="D91" s="1">
        <v>776</v>
      </c>
      <c r="E91" s="1">
        <v>918</v>
      </c>
      <c r="F91" s="1">
        <v>875</v>
      </c>
      <c r="G91" s="1">
        <v>873</v>
      </c>
      <c r="H91" s="1">
        <v>879</v>
      </c>
      <c r="I91" s="1">
        <v>891</v>
      </c>
      <c r="J91" s="1">
        <v>911</v>
      </c>
      <c r="K91" s="33">
        <f>951*40</f>
        <v>38040</v>
      </c>
      <c r="L91" s="33">
        <f>833*40</f>
        <v>33320</v>
      </c>
      <c r="M91" s="33">
        <f>40*845</f>
        <v>33800</v>
      </c>
      <c r="N91" s="33">
        <f>40*120</f>
        <v>4800</v>
      </c>
      <c r="O91" s="33">
        <f>40*509</f>
        <v>20360</v>
      </c>
      <c r="P91" s="33">
        <f>40*728</f>
        <v>29120</v>
      </c>
      <c r="Q91" s="33">
        <f>43.96*594</f>
        <v>26112.240000000002</v>
      </c>
    </row>
    <row r="92" spans="1:17" x14ac:dyDescent="0.3">
      <c r="A92" s="43"/>
      <c r="C92" t="s">
        <v>77</v>
      </c>
      <c r="D92" s="1">
        <v>0</v>
      </c>
      <c r="E92" s="1">
        <v>364</v>
      </c>
      <c r="F92" s="1">
        <v>448</v>
      </c>
      <c r="G92" s="1">
        <v>514</v>
      </c>
      <c r="H92" s="1">
        <v>524</v>
      </c>
      <c r="I92" s="1">
        <v>225</v>
      </c>
      <c r="J92" s="1">
        <v>224</v>
      </c>
      <c r="K92" s="33">
        <f>169*20</f>
        <v>3380</v>
      </c>
      <c r="L92" s="33">
        <v>0</v>
      </c>
      <c r="M92" s="33">
        <v>0</v>
      </c>
      <c r="N92" s="33">
        <f>20*2</f>
        <v>40</v>
      </c>
      <c r="O92" s="33">
        <v>0</v>
      </c>
      <c r="P92" s="33">
        <f>20*6</f>
        <v>120</v>
      </c>
      <c r="Q92" s="33">
        <v>0</v>
      </c>
    </row>
    <row r="93" spans="1:17" x14ac:dyDescent="0.3">
      <c r="A93" s="43"/>
      <c r="C93" t="s">
        <v>78</v>
      </c>
      <c r="D93" s="1">
        <v>3</v>
      </c>
      <c r="E93" s="1">
        <v>0</v>
      </c>
      <c r="F93" s="1">
        <v>9</v>
      </c>
      <c r="G93" s="1">
        <v>8</v>
      </c>
      <c r="H93" s="1">
        <v>12</v>
      </c>
      <c r="I93" s="1">
        <v>0</v>
      </c>
      <c r="J93" s="1">
        <v>19</v>
      </c>
      <c r="K93" s="33">
        <f>9*20</f>
        <v>180</v>
      </c>
      <c r="L93" s="33">
        <f>9*20</f>
        <v>180</v>
      </c>
      <c r="M93" s="33">
        <f>20*10</f>
        <v>200</v>
      </c>
      <c r="N93" s="33">
        <v>0</v>
      </c>
      <c r="O93" s="33">
        <v>0</v>
      </c>
      <c r="P93" s="33">
        <v>0</v>
      </c>
      <c r="Q93" s="33">
        <v>0</v>
      </c>
    </row>
    <row r="94" spans="1:17" x14ac:dyDescent="0.3">
      <c r="A94" s="43"/>
      <c r="C94" t="s">
        <v>79</v>
      </c>
      <c r="D94" s="1">
        <v>14</v>
      </c>
      <c r="E94" s="1">
        <v>87</v>
      </c>
      <c r="F94" s="1">
        <v>148</v>
      </c>
      <c r="G94" s="1">
        <v>102</v>
      </c>
      <c r="H94" s="1">
        <v>145</v>
      </c>
      <c r="I94" s="1">
        <v>191</v>
      </c>
      <c r="J94" s="1">
        <v>216</v>
      </c>
      <c r="K94" s="33">
        <f>278*20</f>
        <v>5560</v>
      </c>
      <c r="L94" s="33">
        <f>217*20</f>
        <v>4340</v>
      </c>
      <c r="M94" s="33">
        <f>20*111</f>
        <v>2220</v>
      </c>
      <c r="N94" s="33">
        <v>0</v>
      </c>
      <c r="O94" s="33">
        <f>20*1</f>
        <v>20</v>
      </c>
      <c r="P94" s="33">
        <f>20*13</f>
        <v>260</v>
      </c>
      <c r="Q94" s="33">
        <f>21.98*37</f>
        <v>813.26</v>
      </c>
    </row>
    <row r="95" spans="1:17" x14ac:dyDescent="0.3">
      <c r="A95" s="43"/>
      <c r="C95" t="s">
        <v>80</v>
      </c>
      <c r="D95" s="1">
        <v>281</v>
      </c>
      <c r="E95" s="1">
        <v>186</v>
      </c>
      <c r="F95" s="1">
        <v>149</v>
      </c>
      <c r="G95" s="1">
        <v>176</v>
      </c>
      <c r="H95" s="1">
        <v>113</v>
      </c>
      <c r="I95" s="1">
        <v>123</v>
      </c>
      <c r="J95" s="1">
        <v>114</v>
      </c>
      <c r="K95" s="33">
        <f>89*20</f>
        <v>1780</v>
      </c>
      <c r="L95" s="33">
        <f>51*20</f>
        <v>1020</v>
      </c>
      <c r="M95" s="33">
        <f>20*63</f>
        <v>1260</v>
      </c>
      <c r="N95" s="33">
        <f>20*3</f>
        <v>60</v>
      </c>
      <c r="O95" s="33">
        <f>20*4</f>
        <v>80</v>
      </c>
      <c r="P95" s="33">
        <f>20*70</f>
        <v>1400</v>
      </c>
      <c r="Q95" s="33">
        <f>21.98*3</f>
        <v>65.94</v>
      </c>
    </row>
    <row r="96" spans="1:17" x14ac:dyDescent="0.3">
      <c r="A96" s="43"/>
      <c r="C96" t="s">
        <v>81</v>
      </c>
      <c r="D96" s="1">
        <v>206</v>
      </c>
      <c r="E96" s="1">
        <v>215</v>
      </c>
      <c r="F96" s="1">
        <v>207</v>
      </c>
      <c r="G96" s="1">
        <v>85</v>
      </c>
      <c r="H96" s="1">
        <v>149</v>
      </c>
      <c r="I96" s="1">
        <v>280</v>
      </c>
      <c r="J96" s="1">
        <v>258</v>
      </c>
      <c r="K96" s="33">
        <f>118*20</f>
        <v>2360</v>
      </c>
      <c r="L96" s="33">
        <f>228*20</f>
        <v>4560</v>
      </c>
      <c r="M96" s="33">
        <f>20*301</f>
        <v>6020</v>
      </c>
      <c r="N96" s="33">
        <f>20*230</f>
        <v>4600</v>
      </c>
      <c r="O96" s="33">
        <f>20*220</f>
        <v>4400</v>
      </c>
      <c r="P96" s="33">
        <f>20*288</f>
        <v>5760</v>
      </c>
      <c r="Q96" s="33">
        <f>21.98*300</f>
        <v>6594</v>
      </c>
    </row>
    <row r="97" spans="1:17" x14ac:dyDescent="0.3">
      <c r="A97" s="43"/>
      <c r="C97" t="s">
        <v>82</v>
      </c>
      <c r="D97" s="1">
        <v>912</v>
      </c>
      <c r="E97" s="1">
        <v>747</v>
      </c>
      <c r="F97" s="1">
        <v>931</v>
      </c>
      <c r="G97" s="1">
        <v>1161</v>
      </c>
      <c r="H97" s="1">
        <v>1105</v>
      </c>
      <c r="I97" s="1">
        <v>1131</v>
      </c>
      <c r="J97" s="1">
        <v>532</v>
      </c>
      <c r="K97" s="33">
        <f>470*20</f>
        <v>9400</v>
      </c>
      <c r="L97" s="33">
        <f>508*20</f>
        <v>10160</v>
      </c>
      <c r="M97" s="33">
        <f>20*517</f>
        <v>10340</v>
      </c>
      <c r="N97" s="33">
        <f>20*311</f>
        <v>6220</v>
      </c>
      <c r="O97" s="33">
        <f>20*404</f>
        <v>8080</v>
      </c>
      <c r="P97" s="33">
        <f>20*455</f>
        <v>9100</v>
      </c>
      <c r="Q97" s="33">
        <f>21.98*483</f>
        <v>10616.34</v>
      </c>
    </row>
    <row r="98" spans="1:17" x14ac:dyDescent="0.3">
      <c r="A98" s="43"/>
      <c r="C98" t="s">
        <v>83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2</v>
      </c>
      <c r="K98" s="33">
        <f>2*20</f>
        <v>40</v>
      </c>
      <c r="L98" s="33">
        <f>4*20</f>
        <v>80</v>
      </c>
      <c r="M98" s="33">
        <f>20*13</f>
        <v>260</v>
      </c>
      <c r="N98" s="33">
        <v>0</v>
      </c>
      <c r="O98" s="33">
        <v>0</v>
      </c>
      <c r="P98" s="33">
        <v>0</v>
      </c>
      <c r="Q98" s="33">
        <v>0</v>
      </c>
    </row>
    <row r="99" spans="1:17" x14ac:dyDescent="0.3">
      <c r="A99" s="43"/>
      <c r="C99" t="s">
        <v>84</v>
      </c>
      <c r="D99" s="1">
        <v>94</v>
      </c>
      <c r="E99" s="1">
        <v>95</v>
      </c>
      <c r="F99" s="1">
        <v>91</v>
      </c>
      <c r="G99" s="1">
        <v>99</v>
      </c>
      <c r="H99" s="1">
        <v>105</v>
      </c>
      <c r="I99" s="1">
        <v>181</v>
      </c>
      <c r="J99" s="1">
        <v>216</v>
      </c>
      <c r="K99" s="33">
        <f>232*20</f>
        <v>4640</v>
      </c>
      <c r="L99" s="33">
        <f>177*20</f>
        <v>3540</v>
      </c>
      <c r="M99" s="33">
        <f>20*153</f>
        <v>3060</v>
      </c>
      <c r="N99" s="33">
        <f>20*2</f>
        <v>40</v>
      </c>
      <c r="O99" s="33">
        <f>20*113</f>
        <v>2260</v>
      </c>
      <c r="P99" s="33">
        <f>20*111</f>
        <v>2220</v>
      </c>
      <c r="Q99" s="33">
        <f>21.98*175</f>
        <v>3846.5</v>
      </c>
    </row>
    <row r="100" spans="1:17" x14ac:dyDescent="0.3">
      <c r="A100" s="43"/>
      <c r="C100" t="s">
        <v>85</v>
      </c>
      <c r="D100" s="1">
        <v>25</v>
      </c>
      <c r="E100" s="1">
        <v>63</v>
      </c>
      <c r="F100" s="1">
        <v>10</v>
      </c>
      <c r="G100" s="1">
        <v>101</v>
      </c>
      <c r="H100" s="1">
        <v>34</v>
      </c>
      <c r="I100" s="1">
        <v>41</v>
      </c>
      <c r="J100" s="1">
        <v>30</v>
      </c>
      <c r="K100" s="33">
        <f>108*20</f>
        <v>2160</v>
      </c>
      <c r="L100" s="33">
        <f>69*20</f>
        <v>1380</v>
      </c>
      <c r="M100" s="33">
        <f>20*68</f>
        <v>1360</v>
      </c>
      <c r="N100" s="33">
        <f>20*1</f>
        <v>20</v>
      </c>
      <c r="O100" s="33">
        <f>20*31</f>
        <v>620</v>
      </c>
      <c r="P100" s="33">
        <f>20*11</f>
        <v>220</v>
      </c>
      <c r="Q100" s="33">
        <f>21.98*46</f>
        <v>1011.08</v>
      </c>
    </row>
    <row r="101" spans="1:17" x14ac:dyDescent="0.3">
      <c r="A101" s="43"/>
      <c r="C101" t="s">
        <v>86</v>
      </c>
      <c r="D101" s="1">
        <v>84</v>
      </c>
      <c r="E101" s="1">
        <v>120</v>
      </c>
      <c r="F101" s="1">
        <v>80</v>
      </c>
      <c r="G101" s="1">
        <v>98</v>
      </c>
      <c r="H101" s="1">
        <v>108</v>
      </c>
      <c r="I101" s="1">
        <v>131</v>
      </c>
      <c r="J101" s="1">
        <v>195</v>
      </c>
      <c r="K101" s="33">
        <f>138*40</f>
        <v>5520</v>
      </c>
      <c r="L101" s="33">
        <f>263*40</f>
        <v>10520</v>
      </c>
      <c r="M101" s="33">
        <f>40*245</f>
        <v>9800</v>
      </c>
      <c r="N101" s="33">
        <f>40*37</f>
        <v>1480</v>
      </c>
      <c r="O101" s="33">
        <f>40*81</f>
        <v>3240</v>
      </c>
      <c r="P101" s="33">
        <f>40*186</f>
        <v>7440</v>
      </c>
      <c r="Q101" s="33">
        <f>43.96*187</f>
        <v>8220.52</v>
      </c>
    </row>
    <row r="102" spans="1:17" x14ac:dyDescent="0.3">
      <c r="A102" s="43"/>
      <c r="C102" t="s">
        <v>87</v>
      </c>
      <c r="D102" s="1">
        <v>0</v>
      </c>
      <c r="E102" s="1">
        <v>0</v>
      </c>
      <c r="F102" s="1">
        <v>0</v>
      </c>
      <c r="G102" s="1">
        <v>20</v>
      </c>
      <c r="H102" s="1">
        <v>23</v>
      </c>
      <c r="I102" s="1">
        <v>34</v>
      </c>
      <c r="J102" s="1">
        <v>19</v>
      </c>
      <c r="K102" s="33">
        <f>24*20</f>
        <v>480</v>
      </c>
      <c r="L102" s="33">
        <f>4*20</f>
        <v>80</v>
      </c>
      <c r="M102" s="33">
        <f>20*8</f>
        <v>160</v>
      </c>
      <c r="N102" s="33">
        <f>20*1</f>
        <v>20</v>
      </c>
      <c r="O102" s="33">
        <v>0</v>
      </c>
      <c r="P102" s="33">
        <v>0</v>
      </c>
      <c r="Q102" s="33">
        <v>0</v>
      </c>
    </row>
    <row r="103" spans="1:17" x14ac:dyDescent="0.3">
      <c r="A103" s="43"/>
      <c r="C103" t="s">
        <v>88</v>
      </c>
      <c r="D103" s="1">
        <v>0</v>
      </c>
      <c r="E103" s="1">
        <v>0</v>
      </c>
      <c r="F103" s="1">
        <v>0</v>
      </c>
      <c r="G103" s="1">
        <v>967</v>
      </c>
      <c r="H103" s="1">
        <v>964</v>
      </c>
      <c r="I103" s="1">
        <v>1302</v>
      </c>
      <c r="J103" s="1">
        <v>1362</v>
      </c>
      <c r="K103" s="33">
        <f>919*20</f>
        <v>18380</v>
      </c>
      <c r="L103" s="33">
        <f>1341*20</f>
        <v>26820</v>
      </c>
      <c r="M103" s="33">
        <f>1036*20</f>
        <v>20720</v>
      </c>
      <c r="N103" s="33">
        <f>20*340</f>
        <v>6800</v>
      </c>
      <c r="O103" s="33">
        <f>20*275</f>
        <v>5500</v>
      </c>
      <c r="P103" s="33">
        <f>20*588</f>
        <v>11760</v>
      </c>
      <c r="Q103" s="33">
        <f>21.98*447</f>
        <v>9825.06</v>
      </c>
    </row>
    <row r="104" spans="1:17" x14ac:dyDescent="0.3">
      <c r="A104" s="43"/>
      <c r="B104" s="8"/>
      <c r="C104" s="9" t="s">
        <v>108</v>
      </c>
      <c r="D104" s="10">
        <f t="shared" ref="D104:Q104" si="10">SUM(D30:D103)</f>
        <v>29557</v>
      </c>
      <c r="E104" s="10">
        <f t="shared" si="10"/>
        <v>29782</v>
      </c>
      <c r="F104" s="10">
        <f t="shared" si="10"/>
        <v>29838</v>
      </c>
      <c r="G104" s="10">
        <f t="shared" si="10"/>
        <v>32920</v>
      </c>
      <c r="H104" s="10">
        <f t="shared" si="10"/>
        <v>34526</v>
      </c>
      <c r="I104" s="10">
        <f t="shared" si="10"/>
        <v>37142</v>
      </c>
      <c r="J104" s="10">
        <f t="shared" si="10"/>
        <v>39837</v>
      </c>
      <c r="K104" s="35">
        <f t="shared" si="10"/>
        <v>832840</v>
      </c>
      <c r="L104" s="35">
        <f t="shared" si="10"/>
        <v>847760</v>
      </c>
      <c r="M104" s="35">
        <f t="shared" si="10"/>
        <v>794866</v>
      </c>
      <c r="N104" s="35">
        <f t="shared" si="10"/>
        <v>214560</v>
      </c>
      <c r="O104" s="35">
        <f t="shared" si="10"/>
        <v>392380</v>
      </c>
      <c r="P104" s="35">
        <f t="shared" si="10"/>
        <v>679920</v>
      </c>
      <c r="Q104" s="35">
        <f t="shared" si="10"/>
        <v>775124.7</v>
      </c>
    </row>
    <row r="105" spans="1:17" x14ac:dyDescent="0.3">
      <c r="A105" s="43"/>
      <c r="B105" t="s">
        <v>45</v>
      </c>
      <c r="C105" t="s">
        <v>46</v>
      </c>
      <c r="D105" s="1">
        <v>1004</v>
      </c>
      <c r="E105" s="1">
        <v>1224</v>
      </c>
      <c r="F105" s="1">
        <v>1426</v>
      </c>
      <c r="G105" s="1">
        <v>1355</v>
      </c>
      <c r="H105" s="1">
        <v>1127</v>
      </c>
      <c r="I105" s="1">
        <v>746</v>
      </c>
      <c r="J105" s="1">
        <v>510</v>
      </c>
      <c r="K105" s="33">
        <f>495*20</f>
        <v>9900</v>
      </c>
      <c r="L105" s="33">
        <f>423*20</f>
        <v>8460</v>
      </c>
      <c r="M105" s="33">
        <f>20*461</f>
        <v>9220</v>
      </c>
      <c r="N105" s="33">
        <f>20*427</f>
        <v>8540</v>
      </c>
      <c r="O105" s="33">
        <f>20*361</f>
        <v>7220</v>
      </c>
      <c r="P105" s="33">
        <f>20*423</f>
        <v>8460</v>
      </c>
      <c r="Q105" s="33">
        <f>21.98*432</f>
        <v>9495.36</v>
      </c>
    </row>
    <row r="106" spans="1:17" x14ac:dyDescent="0.3">
      <c r="A106" s="43"/>
      <c r="C106" t="s">
        <v>56</v>
      </c>
      <c r="D106" s="1">
        <v>8464</v>
      </c>
      <c r="E106" s="1">
        <v>8190</v>
      </c>
      <c r="F106" s="1">
        <v>6923</v>
      </c>
      <c r="G106" s="1">
        <v>7334</v>
      </c>
      <c r="H106" s="1">
        <v>10964</v>
      </c>
      <c r="I106" s="1">
        <v>8177</v>
      </c>
      <c r="J106" s="1">
        <v>7369</v>
      </c>
      <c r="K106" s="33">
        <f>6776*30</f>
        <v>203280</v>
      </c>
      <c r="L106" s="33">
        <f>7116*30</f>
        <v>213480</v>
      </c>
      <c r="M106" s="33">
        <f>5852*30</f>
        <v>175560</v>
      </c>
      <c r="N106" s="33">
        <f>30*3569</f>
        <v>107070</v>
      </c>
      <c r="O106" s="33">
        <f>30*4300</f>
        <v>129000</v>
      </c>
      <c r="P106" s="33">
        <f>30*6017</f>
        <v>180510</v>
      </c>
      <c r="Q106" s="33">
        <f>32.97*6540</f>
        <v>215623.8</v>
      </c>
    </row>
    <row r="107" spans="1:17" x14ac:dyDescent="0.3">
      <c r="A107" s="43"/>
      <c r="C107" t="s">
        <v>62</v>
      </c>
      <c r="D107" s="1">
        <v>290</v>
      </c>
      <c r="E107" s="1">
        <v>336</v>
      </c>
      <c r="F107" s="1">
        <v>338</v>
      </c>
      <c r="G107" s="1">
        <v>426</v>
      </c>
      <c r="H107" s="1">
        <v>418</v>
      </c>
      <c r="I107" s="1">
        <v>482</v>
      </c>
      <c r="J107" s="1">
        <v>531</v>
      </c>
      <c r="K107" s="33">
        <f>517*20</f>
        <v>10340</v>
      </c>
      <c r="L107" s="33">
        <f>532*20</f>
        <v>10640</v>
      </c>
      <c r="M107" s="33">
        <f>20*480</f>
        <v>9600</v>
      </c>
      <c r="N107" s="33">
        <f>20*494</f>
        <v>9880</v>
      </c>
      <c r="O107" s="33">
        <f>20*401</f>
        <v>8020</v>
      </c>
      <c r="P107" s="33">
        <f>20*417</f>
        <v>8340</v>
      </c>
      <c r="Q107" s="33">
        <f>21.98*316</f>
        <v>6945.68</v>
      </c>
    </row>
    <row r="108" spans="1:17" x14ac:dyDescent="0.3">
      <c r="A108" s="43"/>
      <c r="C108" t="s">
        <v>63</v>
      </c>
      <c r="D108" s="1">
        <v>653</v>
      </c>
      <c r="E108" s="1">
        <v>750</v>
      </c>
      <c r="F108" s="1">
        <v>775</v>
      </c>
      <c r="G108" s="1">
        <v>872</v>
      </c>
      <c r="H108" s="1">
        <v>857</v>
      </c>
      <c r="I108" s="1">
        <v>930</v>
      </c>
      <c r="J108" s="1">
        <v>1054</v>
      </c>
      <c r="K108" s="33">
        <f>1032*20</f>
        <v>20640</v>
      </c>
      <c r="L108" s="33">
        <f>1014*20</f>
        <v>20280</v>
      </c>
      <c r="M108" s="33">
        <f>20*938</f>
        <v>18760</v>
      </c>
      <c r="N108" s="33">
        <f>20*972</f>
        <v>19440</v>
      </c>
      <c r="O108" s="33">
        <f>20*715</f>
        <v>14300</v>
      </c>
      <c r="P108" s="33">
        <f>20*764</f>
        <v>15280</v>
      </c>
      <c r="Q108" s="33">
        <f>21.98*589</f>
        <v>12946.22</v>
      </c>
    </row>
    <row r="109" spans="1:17" x14ac:dyDescent="0.3">
      <c r="A109" s="43"/>
      <c r="C109" t="s">
        <v>68</v>
      </c>
      <c r="D109" s="1">
        <v>2954</v>
      </c>
      <c r="E109" s="1">
        <v>3194</v>
      </c>
      <c r="F109" s="1">
        <v>3556</v>
      </c>
      <c r="G109" s="1">
        <v>3796</v>
      </c>
      <c r="H109" s="1">
        <v>4033</v>
      </c>
      <c r="I109" s="1">
        <v>4298</v>
      </c>
      <c r="J109" s="1">
        <v>4619</v>
      </c>
      <c r="K109" s="33">
        <f>4380*60</f>
        <v>262800</v>
      </c>
      <c r="L109" s="33">
        <f>464360</f>
        <v>464360</v>
      </c>
      <c r="M109" s="33">
        <f>60*4455</f>
        <v>267300</v>
      </c>
      <c r="N109" s="33">
        <f>60*1012</f>
        <v>60720</v>
      </c>
      <c r="O109" s="33">
        <f>60*1937</f>
        <v>116220</v>
      </c>
      <c r="P109" s="33">
        <f>60*3394</f>
        <v>203640</v>
      </c>
      <c r="Q109" s="33">
        <f>65.94*3227</f>
        <v>212788.38</v>
      </c>
    </row>
    <row r="110" spans="1:17" x14ac:dyDescent="0.3">
      <c r="A110" s="43"/>
      <c r="C110" t="s">
        <v>70</v>
      </c>
      <c r="D110" s="1">
        <v>1089</v>
      </c>
      <c r="E110" s="1">
        <v>2029</v>
      </c>
      <c r="F110" s="1">
        <v>2016</v>
      </c>
      <c r="G110" s="1">
        <v>2085</v>
      </c>
      <c r="H110" s="1">
        <v>2389</v>
      </c>
      <c r="I110" s="1">
        <v>2755</v>
      </c>
      <c r="J110" s="1">
        <v>3033</v>
      </c>
      <c r="K110" s="33">
        <f>3305*15</f>
        <v>49575</v>
      </c>
      <c r="L110" s="33">
        <f>3388*15</f>
        <v>50820</v>
      </c>
      <c r="M110" s="33">
        <f>15*3359</f>
        <v>50385</v>
      </c>
      <c r="N110" s="33">
        <f>15*1250</f>
        <v>18750</v>
      </c>
      <c r="O110" s="33">
        <f>15*2259</f>
        <v>33885</v>
      </c>
      <c r="P110" s="33">
        <f>15*3585</f>
        <v>53775</v>
      </c>
      <c r="Q110" s="33">
        <f>16.49*3677</f>
        <v>60633.729999999996</v>
      </c>
    </row>
    <row r="111" spans="1:17" x14ac:dyDescent="0.3">
      <c r="A111" s="43"/>
      <c r="C111" t="s">
        <v>71</v>
      </c>
      <c r="D111" s="1">
        <v>935</v>
      </c>
      <c r="E111" s="1">
        <v>1700</v>
      </c>
      <c r="F111" s="1">
        <v>1467</v>
      </c>
      <c r="G111" s="1">
        <v>1738</v>
      </c>
      <c r="H111" s="1">
        <v>2015</v>
      </c>
      <c r="I111" s="1">
        <v>2076</v>
      </c>
      <c r="J111" s="1">
        <v>1933</v>
      </c>
      <c r="K111" s="33">
        <f>2392*30</f>
        <v>71760</v>
      </c>
      <c r="L111" s="33">
        <f>2469*30</f>
        <v>74070</v>
      </c>
      <c r="M111" s="33">
        <f>30*2468</f>
        <v>74040</v>
      </c>
      <c r="N111" s="33">
        <f>30*899</f>
        <v>26970</v>
      </c>
      <c r="O111" s="33">
        <f>30*1456</f>
        <v>43680</v>
      </c>
      <c r="P111" s="33">
        <f>30*2029</f>
        <v>60870</v>
      </c>
      <c r="Q111" s="33">
        <f>32.97*2073</f>
        <v>68346.81</v>
      </c>
    </row>
    <row r="112" spans="1:17" x14ac:dyDescent="0.3">
      <c r="A112" s="43"/>
      <c r="C112" t="s">
        <v>72</v>
      </c>
      <c r="D112" s="1">
        <v>100</v>
      </c>
      <c r="E112" s="1">
        <v>160</v>
      </c>
      <c r="F112" s="1">
        <v>184</v>
      </c>
      <c r="G112" s="1">
        <v>144</v>
      </c>
      <c r="H112" s="1">
        <v>191</v>
      </c>
      <c r="I112" s="1">
        <v>155</v>
      </c>
      <c r="J112" s="1">
        <v>184</v>
      </c>
      <c r="K112" s="33">
        <f>210*60</f>
        <v>12600</v>
      </c>
      <c r="L112" s="33">
        <f>183*60</f>
        <v>10980</v>
      </c>
      <c r="M112" s="33">
        <f>60*193</f>
        <v>11580</v>
      </c>
      <c r="N112" s="33">
        <f>60*132</f>
        <v>7920</v>
      </c>
      <c r="O112" s="33">
        <f>60*236</f>
        <v>14160</v>
      </c>
      <c r="P112" s="33">
        <f>60*292</f>
        <v>17520</v>
      </c>
      <c r="Q112" s="33">
        <f>65.94*226</f>
        <v>14902.439999999999</v>
      </c>
    </row>
    <row r="113" spans="1:17" x14ac:dyDescent="0.3">
      <c r="A113" s="43"/>
      <c r="B113" s="9"/>
      <c r="C113" s="9" t="s">
        <v>101</v>
      </c>
      <c r="D113" s="10">
        <f>SUM(D105:D112)</f>
        <v>15489</v>
      </c>
      <c r="E113" s="10">
        <f t="shared" ref="E113:Q113" si="11">SUM(E105:E112)</f>
        <v>17583</v>
      </c>
      <c r="F113" s="10">
        <f t="shared" si="11"/>
        <v>16685</v>
      </c>
      <c r="G113" s="10">
        <f t="shared" si="11"/>
        <v>17750</v>
      </c>
      <c r="H113" s="10">
        <f t="shared" si="11"/>
        <v>21994</v>
      </c>
      <c r="I113" s="10">
        <f t="shared" si="11"/>
        <v>19619</v>
      </c>
      <c r="J113" s="10">
        <f t="shared" si="11"/>
        <v>19233</v>
      </c>
      <c r="K113" s="35">
        <f t="shared" si="11"/>
        <v>640895</v>
      </c>
      <c r="L113" s="35">
        <f t="shared" si="11"/>
        <v>853090</v>
      </c>
      <c r="M113" s="35">
        <f t="shared" si="11"/>
        <v>616445</v>
      </c>
      <c r="N113" s="35">
        <f t="shared" si="11"/>
        <v>259290</v>
      </c>
      <c r="O113" s="35">
        <f t="shared" si="11"/>
        <v>366485</v>
      </c>
      <c r="P113" s="35">
        <f>SUM(P105:P112)</f>
        <v>548395</v>
      </c>
      <c r="Q113" s="35">
        <f t="shared" si="11"/>
        <v>601682.41999999993</v>
      </c>
    </row>
    <row r="114" spans="1:17" ht="15" thickBot="1" x14ac:dyDescent="0.35">
      <c r="A114" s="44"/>
      <c r="B114" s="5" t="s">
        <v>99</v>
      </c>
      <c r="C114" s="6" t="s">
        <v>102</v>
      </c>
      <c r="D114" s="14">
        <f>SUM(D113,D104,D29)</f>
        <v>105641</v>
      </c>
      <c r="E114" s="14">
        <f t="shared" ref="E114:Q114" si="12">SUM(E113,E104,E29)</f>
        <v>109143</v>
      </c>
      <c r="F114" s="14">
        <f t="shared" si="12"/>
        <v>108141</v>
      </c>
      <c r="G114" s="14">
        <f t="shared" si="12"/>
        <v>115860</v>
      </c>
      <c r="H114" s="14">
        <f t="shared" si="12"/>
        <v>126545</v>
      </c>
      <c r="I114" s="14">
        <f t="shared" si="12"/>
        <v>128686</v>
      </c>
      <c r="J114" s="14">
        <f t="shared" si="12"/>
        <v>135475</v>
      </c>
      <c r="K114" s="38">
        <f t="shared" si="12"/>
        <v>4598570</v>
      </c>
      <c r="L114" s="38">
        <f t="shared" si="12"/>
        <v>4848992</v>
      </c>
      <c r="M114" s="38">
        <f t="shared" si="12"/>
        <v>4613021</v>
      </c>
      <c r="N114" s="38">
        <f t="shared" si="12"/>
        <v>2287918</v>
      </c>
      <c r="O114" s="38">
        <f t="shared" si="12"/>
        <v>2762745</v>
      </c>
      <c r="P114" s="38">
        <f t="shared" si="12"/>
        <v>3946757</v>
      </c>
      <c r="Q114" s="38">
        <f t="shared" si="12"/>
        <v>4505022.8600000003</v>
      </c>
    </row>
    <row r="115" spans="1:17" ht="15" thickBot="1" x14ac:dyDescent="0.35">
      <c r="A115" s="26" t="s">
        <v>107</v>
      </c>
      <c r="B115" s="27" t="s">
        <v>99</v>
      </c>
      <c r="C115" s="28" t="s">
        <v>139</v>
      </c>
      <c r="D115" s="29">
        <f>SUM(D114,D22)</f>
        <v>505306</v>
      </c>
      <c r="E115" s="29">
        <f t="shared" ref="E115:Q115" si="13">SUM(E114,E22)</f>
        <v>496456</v>
      </c>
      <c r="F115" s="29">
        <f t="shared" si="13"/>
        <v>486353</v>
      </c>
      <c r="G115" s="29">
        <f t="shared" si="13"/>
        <v>511947</v>
      </c>
      <c r="H115" s="29">
        <f t="shared" si="13"/>
        <v>565363</v>
      </c>
      <c r="I115" s="29">
        <f t="shared" si="13"/>
        <v>526957</v>
      </c>
      <c r="J115" s="29">
        <f t="shared" si="13"/>
        <v>539248</v>
      </c>
      <c r="K115" s="39">
        <f t="shared" si="13"/>
        <v>13809980</v>
      </c>
      <c r="L115" s="39">
        <f t="shared" si="13"/>
        <v>14321175</v>
      </c>
      <c r="M115" s="39">
        <f t="shared" si="13"/>
        <v>13868594</v>
      </c>
      <c r="N115" s="39">
        <f>SUM(N114,N22)</f>
        <v>13412738</v>
      </c>
      <c r="O115" s="39">
        <f t="shared" si="13"/>
        <v>12628121</v>
      </c>
      <c r="P115" s="39">
        <f t="shared" si="13"/>
        <v>13386702</v>
      </c>
      <c r="Q115" s="39">
        <f t="shared" si="13"/>
        <v>14774050.670000002</v>
      </c>
    </row>
    <row r="116" spans="1:17" ht="15" thickTop="1" x14ac:dyDescent="0.3"/>
  </sheetData>
  <mergeCells count="2">
    <mergeCell ref="A4:A22"/>
    <mergeCell ref="A23:A114"/>
  </mergeCells>
  <pageMargins left="0.7" right="0.7" top="0.75" bottom="0.75" header="0.3" footer="0.3"/>
  <ignoredErrors>
    <ignoredError sqref="K6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D907C-0ED2-4530-AFE9-4CB80A8444EE}">
  <dimension ref="A1:Q12"/>
  <sheetViews>
    <sheetView topLeftCell="B1" workbookViewId="0">
      <selection activeCell="T6" sqref="T6"/>
    </sheetView>
  </sheetViews>
  <sheetFormatPr defaultRowHeight="14.4" x14ac:dyDescent="0.3"/>
  <cols>
    <col min="1" max="1" width="18.44140625" customWidth="1"/>
    <col min="2" max="2" width="35.33203125" customWidth="1"/>
    <col min="3" max="13" width="8.33203125" customWidth="1"/>
  </cols>
  <sheetData>
    <row r="1" spans="1:17" ht="15.6" x14ac:dyDescent="0.3">
      <c r="A1" s="16" t="s">
        <v>96</v>
      </c>
    </row>
    <row r="3" spans="1:17" ht="15" thickBot="1" x14ac:dyDescent="0.35">
      <c r="A3" s="17" t="s">
        <v>0</v>
      </c>
      <c r="B3" s="17" t="s">
        <v>104</v>
      </c>
      <c r="C3" s="18" t="s">
        <v>113</v>
      </c>
      <c r="D3" s="18" t="s">
        <v>112</v>
      </c>
      <c r="E3" s="18" t="s">
        <v>111</v>
      </c>
      <c r="F3" s="18" t="s">
        <v>110</v>
      </c>
      <c r="G3" s="18" t="s">
        <v>89</v>
      </c>
      <c r="H3" s="18" t="s">
        <v>90</v>
      </c>
      <c r="I3" s="18" t="s">
        <v>91</v>
      </c>
      <c r="J3" s="18" t="s">
        <v>92</v>
      </c>
      <c r="K3" s="18" t="s">
        <v>93</v>
      </c>
      <c r="L3" s="18" t="s">
        <v>94</v>
      </c>
      <c r="M3" s="18" t="s">
        <v>114</v>
      </c>
      <c r="N3" s="18" t="s">
        <v>131</v>
      </c>
      <c r="O3" s="18" t="s">
        <v>134</v>
      </c>
      <c r="P3" s="18" t="s">
        <v>146</v>
      </c>
      <c r="Q3" s="18" t="s">
        <v>147</v>
      </c>
    </row>
    <row r="4" spans="1:17" x14ac:dyDescent="0.3">
      <c r="A4" s="19" t="s">
        <v>8</v>
      </c>
      <c r="B4" s="20" t="s">
        <v>115</v>
      </c>
      <c r="C4" s="21">
        <f>'Compiled Angling Sales Report'!D11</f>
        <v>281261</v>
      </c>
      <c r="D4" s="21">
        <f>'Compiled Angling Sales Report'!E11</f>
        <v>275243</v>
      </c>
      <c r="E4" s="21">
        <f>'Compiled Angling Sales Report'!F11</f>
        <v>271406</v>
      </c>
      <c r="F4" s="21">
        <f>'Compiled Angling Sales Report'!G11</f>
        <v>278723</v>
      </c>
      <c r="G4" s="21">
        <f>'Compiled Angling Sales Report'!H11</f>
        <v>295024</v>
      </c>
      <c r="H4" s="21">
        <f>'Compiled Angling Sales Report'!I11</f>
        <v>279261</v>
      </c>
      <c r="I4" s="21">
        <f>'Compiled Angling Sales Report'!J11</f>
        <v>288346</v>
      </c>
      <c r="J4" s="21">
        <f>'Compiled Angling Sales Report'!K11</f>
        <v>275060</v>
      </c>
      <c r="K4" s="21">
        <f>'Compiled Angling Sales Report'!L11</f>
        <v>282690</v>
      </c>
      <c r="L4" s="21">
        <f>'Compiled Angling Sales Report'!M11</f>
        <v>284877</v>
      </c>
      <c r="M4" s="21">
        <f>'Compiled Angling Sales Report'!N11</f>
        <v>334433</v>
      </c>
      <c r="N4" s="21">
        <f>'Compiled Angling Sales Report'!O11</f>
        <v>295641</v>
      </c>
      <c r="O4" s="21">
        <f>'Compiled Angling Sales Report'!P11</f>
        <v>284659</v>
      </c>
      <c r="P4" s="21">
        <f>'Compiled Angling Sales Report'!Q11</f>
        <v>285566</v>
      </c>
      <c r="Q4" s="21">
        <f>'Compiled Angling Sales Report'!R11</f>
        <v>290506</v>
      </c>
    </row>
    <row r="5" spans="1:17" x14ac:dyDescent="0.3">
      <c r="A5" s="19"/>
      <c r="B5" s="20" t="s">
        <v>105</v>
      </c>
      <c r="C5" s="21">
        <f>'Compiled Angling Sales Report'!D12</f>
        <v>17573</v>
      </c>
      <c r="D5" s="21">
        <f>'Compiled Angling Sales Report'!E12</f>
        <v>17124</v>
      </c>
      <c r="E5" s="21">
        <f>'Compiled Angling Sales Report'!F12</f>
        <v>17174</v>
      </c>
      <c r="F5" s="21">
        <f>'Compiled Angling Sales Report'!G12</f>
        <v>18215</v>
      </c>
      <c r="G5" s="21">
        <f>'Compiled Angling Sales Report'!H12</f>
        <v>20380</v>
      </c>
      <c r="H5" s="21">
        <f>'Compiled Angling Sales Report'!I12</f>
        <v>20415</v>
      </c>
      <c r="I5" s="21">
        <f>'Compiled Angling Sales Report'!J12</f>
        <v>21052</v>
      </c>
      <c r="J5" s="21">
        <f>'Compiled Angling Sales Report'!K12</f>
        <v>18557</v>
      </c>
      <c r="K5" s="21">
        <f>'Compiled Angling Sales Report'!L12</f>
        <v>16837</v>
      </c>
      <c r="L5" s="21">
        <f>'Compiled Angling Sales Report'!M12</f>
        <v>18018</v>
      </c>
      <c r="M5" s="21">
        <f>'Compiled Angling Sales Report'!N12</f>
        <v>21074</v>
      </c>
      <c r="N5" s="21">
        <f>'Compiled Angling Sales Report'!O12</f>
        <v>19848</v>
      </c>
      <c r="O5" s="21">
        <f>'Compiled Angling Sales Report'!P12</f>
        <v>20264</v>
      </c>
      <c r="P5" s="21">
        <f>'Compiled Angling Sales Report'!Q12</f>
        <v>21065</v>
      </c>
      <c r="Q5" s="21">
        <f>'Compiled Angling Sales Report'!R12</f>
        <v>21535</v>
      </c>
    </row>
    <row r="6" spans="1:17" x14ac:dyDescent="0.3">
      <c r="A6" s="19"/>
      <c r="B6" s="20" t="s">
        <v>116</v>
      </c>
      <c r="C6" s="21">
        <f>'Compiled Angling Sales Report'!D21</f>
        <v>100831</v>
      </c>
      <c r="D6" s="21">
        <f>'Compiled Angling Sales Report'!E21</f>
        <v>94946</v>
      </c>
      <c r="E6" s="21">
        <f>'Compiled Angling Sales Report'!F21</f>
        <v>89632</v>
      </c>
      <c r="F6" s="21">
        <f>'Compiled Angling Sales Report'!G21</f>
        <v>99149</v>
      </c>
      <c r="G6" s="21">
        <f>'Compiled Angling Sales Report'!H21</f>
        <v>123414</v>
      </c>
      <c r="H6" s="21">
        <f>'Compiled Angling Sales Report'!I21</f>
        <v>98595</v>
      </c>
      <c r="I6" s="21">
        <f>'Compiled Angling Sales Report'!J21</f>
        <v>94375</v>
      </c>
      <c r="J6" s="21">
        <f>'Compiled Angling Sales Report'!K21</f>
        <v>88420</v>
      </c>
      <c r="K6" s="21">
        <f>'Compiled Angling Sales Report'!L21</f>
        <v>98446</v>
      </c>
      <c r="L6" s="21">
        <f>'Compiled Angling Sales Report'!M21</f>
        <v>81383</v>
      </c>
      <c r="M6" s="21">
        <f>'Compiled Angling Sales Report'!N21</f>
        <v>95455</v>
      </c>
      <c r="N6" s="21">
        <f>'Compiled Angling Sales Report'!O21</f>
        <v>92799</v>
      </c>
      <c r="O6" s="21">
        <f>'Compiled Angling Sales Report'!P21</f>
        <v>96180</v>
      </c>
      <c r="P6" s="21">
        <f>'Compiled Angling Sales Report'!Q21</f>
        <v>96457</v>
      </c>
      <c r="Q6" s="21">
        <f>'Compiled Angling Sales Report'!R21</f>
        <v>96104</v>
      </c>
    </row>
    <row r="7" spans="1:17" ht="15" thickBot="1" x14ac:dyDescent="0.35">
      <c r="A7" s="22"/>
      <c r="B7" s="24" t="s">
        <v>117</v>
      </c>
      <c r="C7" s="25">
        <f>'Compiled Angling Sales Report'!D22</f>
        <v>399665</v>
      </c>
      <c r="D7" s="25">
        <f>'Compiled Angling Sales Report'!E22</f>
        <v>387313</v>
      </c>
      <c r="E7" s="25">
        <f>'Compiled Angling Sales Report'!F22</f>
        <v>378212</v>
      </c>
      <c r="F7" s="25">
        <f>'Compiled Angling Sales Report'!G22</f>
        <v>396087</v>
      </c>
      <c r="G7" s="25">
        <f>'Compiled Angling Sales Report'!H22</f>
        <v>438818</v>
      </c>
      <c r="H7" s="25">
        <f>'Compiled Angling Sales Report'!I22</f>
        <v>398271</v>
      </c>
      <c r="I7" s="25">
        <f>'Compiled Angling Sales Report'!J22</f>
        <v>403773</v>
      </c>
      <c r="J7" s="25">
        <f>'Compiled Angling Sales Report'!K22</f>
        <v>382037</v>
      </c>
      <c r="K7" s="25">
        <f>'Compiled Angling Sales Report'!L22</f>
        <v>397973</v>
      </c>
      <c r="L7" s="25">
        <f>'Compiled Angling Sales Report'!M22</f>
        <v>384278</v>
      </c>
      <c r="M7" s="25">
        <f>'Compiled Angling Sales Report'!N22</f>
        <v>450962</v>
      </c>
      <c r="N7" s="25">
        <f>'Compiled Angling Sales Report'!O22</f>
        <v>408288</v>
      </c>
      <c r="O7" s="25">
        <f>'Compiled Angling Sales Report'!P22</f>
        <v>401103</v>
      </c>
      <c r="P7" s="25">
        <f>'Compiled Angling Sales Report'!Q22</f>
        <v>403088</v>
      </c>
      <c r="Q7" s="25">
        <f>'Compiled Angling Sales Report'!R22</f>
        <v>408145</v>
      </c>
    </row>
    <row r="8" spans="1:17" x14ac:dyDescent="0.3">
      <c r="A8" s="19" t="s">
        <v>2</v>
      </c>
      <c r="B8" s="20" t="s">
        <v>118</v>
      </c>
      <c r="C8" s="21">
        <f>'Compiled Angling Sales Report'!D27</f>
        <v>60595</v>
      </c>
      <c r="D8" s="21">
        <f>'Compiled Angling Sales Report'!E27</f>
        <v>61778</v>
      </c>
      <c r="E8" s="21">
        <f>'Compiled Angling Sales Report'!F27</f>
        <v>61618</v>
      </c>
      <c r="F8" s="21">
        <f>'Compiled Angling Sales Report'!G27</f>
        <v>65190</v>
      </c>
      <c r="G8" s="21">
        <f>'Compiled Angling Sales Report'!H27</f>
        <v>70025</v>
      </c>
      <c r="H8" s="21">
        <f>'Compiled Angling Sales Report'!I27</f>
        <v>71925</v>
      </c>
      <c r="I8" s="21">
        <f>'Compiled Angling Sales Report'!J27</f>
        <v>76405</v>
      </c>
      <c r="J8" s="21">
        <f>'Compiled Angling Sales Report'!K27</f>
        <v>72512</v>
      </c>
      <c r="K8" s="21">
        <f>'Compiled Angling Sales Report'!L27</f>
        <v>73225</v>
      </c>
      <c r="L8" s="21">
        <f>'Compiled Angling Sales Report'!M27</f>
        <v>74177</v>
      </c>
      <c r="M8" s="21">
        <f>'Compiled Angling Sales Report'!N27</f>
        <v>46300</v>
      </c>
      <c r="N8" s="21">
        <f>'Compiled Angling Sales Report'!O27</f>
        <v>46040</v>
      </c>
      <c r="O8" s="21">
        <f>'Compiled Angling Sales Report'!P27</f>
        <v>62274</v>
      </c>
      <c r="P8" s="21">
        <f>'Compiled Angling Sales Report'!Q27</f>
        <v>73445</v>
      </c>
      <c r="Q8" s="21">
        <f>'Compiled Angling Sales Report'!R27</f>
        <v>67063</v>
      </c>
    </row>
    <row r="9" spans="1:17" x14ac:dyDescent="0.3">
      <c r="A9" s="19"/>
      <c r="B9" s="20" t="s">
        <v>119</v>
      </c>
      <c r="C9" s="21">
        <f>'Compiled Angling Sales Report'!D102</f>
        <v>29557</v>
      </c>
      <c r="D9" s="21">
        <f>'Compiled Angling Sales Report'!E102</f>
        <v>29782</v>
      </c>
      <c r="E9" s="21">
        <f>'Compiled Angling Sales Report'!F102</f>
        <v>29838</v>
      </c>
      <c r="F9" s="21">
        <f>'Compiled Angling Sales Report'!G102</f>
        <v>32920</v>
      </c>
      <c r="G9" s="21">
        <f>'Compiled Angling Sales Report'!H102</f>
        <v>34526</v>
      </c>
      <c r="H9" s="21">
        <f>'Compiled Angling Sales Report'!I102</f>
        <v>37142</v>
      </c>
      <c r="I9" s="21">
        <f>'Compiled Angling Sales Report'!J102</f>
        <v>39837</v>
      </c>
      <c r="J9" s="21">
        <f>'Compiled Angling Sales Report'!K102</f>
        <v>36095</v>
      </c>
      <c r="K9" s="21">
        <f>'Compiled Angling Sales Report'!L102</f>
        <v>36857</v>
      </c>
      <c r="L9" s="21">
        <f>'Compiled Angling Sales Report'!M102</f>
        <v>34226</v>
      </c>
      <c r="M9" s="21">
        <f>'Compiled Angling Sales Report'!N102</f>
        <v>10110</v>
      </c>
      <c r="N9" s="21">
        <f>'Compiled Angling Sales Report'!O102</f>
        <v>16616</v>
      </c>
      <c r="O9" s="21">
        <f>'Compiled Angling Sales Report'!P102</f>
        <v>28260</v>
      </c>
      <c r="P9" s="21">
        <f>'Compiled Angling Sales Report'!Q102</f>
        <v>30145</v>
      </c>
      <c r="Q9" s="21">
        <f>'Compiled Angling Sales Report'!R102</f>
        <v>33013</v>
      </c>
    </row>
    <row r="10" spans="1:17" x14ac:dyDescent="0.3">
      <c r="A10" s="19"/>
      <c r="B10" s="20" t="s">
        <v>120</v>
      </c>
      <c r="C10" s="21">
        <f>'Compiled Angling Sales Report'!D111</f>
        <v>15489</v>
      </c>
      <c r="D10" s="21">
        <f>'Compiled Angling Sales Report'!E111</f>
        <v>17583</v>
      </c>
      <c r="E10" s="21">
        <f>'Compiled Angling Sales Report'!F111</f>
        <v>16685</v>
      </c>
      <c r="F10" s="21">
        <f>'Compiled Angling Sales Report'!G111</f>
        <v>17750</v>
      </c>
      <c r="G10" s="21">
        <f>'Compiled Angling Sales Report'!H111</f>
        <v>21994</v>
      </c>
      <c r="H10" s="21">
        <f>'Compiled Angling Sales Report'!I111</f>
        <v>19619</v>
      </c>
      <c r="I10" s="21">
        <f>'Compiled Angling Sales Report'!J111</f>
        <v>19233</v>
      </c>
      <c r="J10" s="21">
        <f>'Compiled Angling Sales Report'!K111</f>
        <v>19107</v>
      </c>
      <c r="K10" s="21">
        <f>'Compiled Angling Sales Report'!L111</f>
        <v>19768</v>
      </c>
      <c r="L10" s="21">
        <f>'Compiled Angling Sales Report'!M111</f>
        <v>18206</v>
      </c>
      <c r="M10" s="21">
        <f>'Compiled Angling Sales Report'!N111</f>
        <v>8755</v>
      </c>
      <c r="N10" s="21">
        <f>'Compiled Angling Sales Report'!O111</f>
        <v>11665</v>
      </c>
      <c r="O10" s="21">
        <f>'Compiled Angling Sales Report'!P111</f>
        <v>16921</v>
      </c>
      <c r="P10" s="21">
        <f>'Compiled Angling Sales Report'!Q111</f>
        <v>17314</v>
      </c>
      <c r="Q10" s="21">
        <f>'Compiled Angling Sales Report'!R111</f>
        <v>17169</v>
      </c>
    </row>
    <row r="11" spans="1:17" ht="15" thickBot="1" x14ac:dyDescent="0.35">
      <c r="A11" s="22"/>
      <c r="B11" s="24" t="s">
        <v>121</v>
      </c>
      <c r="C11" s="25">
        <f>'Compiled Angling Sales Report'!D112</f>
        <v>105641</v>
      </c>
      <c r="D11" s="25">
        <f>'Compiled Angling Sales Report'!E112</f>
        <v>109143</v>
      </c>
      <c r="E11" s="25">
        <f>'Compiled Angling Sales Report'!F112</f>
        <v>108141</v>
      </c>
      <c r="F11" s="25">
        <f>'Compiled Angling Sales Report'!G112</f>
        <v>115860</v>
      </c>
      <c r="G11" s="25">
        <f>'Compiled Angling Sales Report'!H112</f>
        <v>126545</v>
      </c>
      <c r="H11" s="25">
        <f>'Compiled Angling Sales Report'!I112</f>
        <v>128686</v>
      </c>
      <c r="I11" s="25">
        <f>'Compiled Angling Sales Report'!J112</f>
        <v>135475</v>
      </c>
      <c r="J11" s="25">
        <f>'Compiled Angling Sales Report'!K112</f>
        <v>127714</v>
      </c>
      <c r="K11" s="25">
        <f>'Compiled Angling Sales Report'!L112</f>
        <v>129850</v>
      </c>
      <c r="L11" s="25">
        <f>'Compiled Angling Sales Report'!M112</f>
        <v>126609</v>
      </c>
      <c r="M11" s="25">
        <f>'Compiled Angling Sales Report'!N112</f>
        <v>65165</v>
      </c>
      <c r="N11" s="25">
        <f>'Compiled Angling Sales Report'!O112</f>
        <v>74321</v>
      </c>
      <c r="O11" s="25">
        <f>'Compiled Angling Sales Report'!P112</f>
        <v>107455</v>
      </c>
      <c r="P11" s="25">
        <f>'Compiled Angling Sales Report'!Q112</f>
        <v>120904</v>
      </c>
      <c r="Q11" s="25">
        <f>'Compiled Angling Sales Report'!R112</f>
        <v>117245</v>
      </c>
    </row>
    <row r="12" spans="1:17" ht="15" thickBot="1" x14ac:dyDescent="0.35">
      <c r="A12" s="5" t="s">
        <v>107</v>
      </c>
      <c r="B12" s="24" t="s">
        <v>103</v>
      </c>
      <c r="C12" s="25">
        <f>'Compiled Angling Sales Report'!D113</f>
        <v>505306</v>
      </c>
      <c r="D12" s="25">
        <f>'Compiled Angling Sales Report'!E113</f>
        <v>496456</v>
      </c>
      <c r="E12" s="25">
        <f>'Compiled Angling Sales Report'!F113</f>
        <v>486353</v>
      </c>
      <c r="F12" s="25">
        <f>'Compiled Angling Sales Report'!G113</f>
        <v>511947</v>
      </c>
      <c r="G12" s="25">
        <f>'Compiled Angling Sales Report'!H113</f>
        <v>565363</v>
      </c>
      <c r="H12" s="25">
        <f>'Compiled Angling Sales Report'!I113</f>
        <v>526957</v>
      </c>
      <c r="I12" s="25">
        <f>'Compiled Angling Sales Report'!J113</f>
        <v>539248</v>
      </c>
      <c r="J12" s="25">
        <f>'Compiled Angling Sales Report'!K113</f>
        <v>509751</v>
      </c>
      <c r="K12" s="25">
        <f>'Compiled Angling Sales Report'!L113</f>
        <v>527823</v>
      </c>
      <c r="L12" s="25">
        <f>'Compiled Angling Sales Report'!M113</f>
        <v>510887</v>
      </c>
      <c r="M12" s="25">
        <f>'Compiled Angling Sales Report'!N113</f>
        <v>516127</v>
      </c>
      <c r="N12" s="25">
        <f>'Compiled Angling Sales Report'!O113</f>
        <v>482609</v>
      </c>
      <c r="O12" s="25">
        <f>'Compiled Angling Sales Report'!P113</f>
        <v>508558</v>
      </c>
      <c r="P12" s="25">
        <f>'Compiled Angling Sales Report'!Q113</f>
        <v>523992</v>
      </c>
      <c r="Q12" s="25">
        <f>'Compiled Angling Sales Report'!R113</f>
        <v>525390</v>
      </c>
    </row>
  </sheetData>
  <phoneticPr fontId="25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14" sqref="A14"/>
    </sheetView>
  </sheetViews>
  <sheetFormatPr defaultRowHeight="14.4" x14ac:dyDescent="0.3"/>
  <cols>
    <col min="1" max="1" width="96.6640625" bestFit="1" customWidth="1"/>
  </cols>
  <sheetData>
    <row r="1" spans="1:1" ht="15.6" x14ac:dyDescent="0.3">
      <c r="A1" s="16" t="s">
        <v>123</v>
      </c>
    </row>
    <row r="2" spans="1:1" ht="15.6" x14ac:dyDescent="0.3">
      <c r="A2" s="16"/>
    </row>
    <row r="3" spans="1:1" x14ac:dyDescent="0.3">
      <c r="A3" s="15" t="s">
        <v>109</v>
      </c>
    </row>
    <row r="4" spans="1:1" x14ac:dyDescent="0.3">
      <c r="A4" t="s">
        <v>122</v>
      </c>
    </row>
    <row r="5" spans="1:1" x14ac:dyDescent="0.3">
      <c r="A5" t="s">
        <v>125</v>
      </c>
    </row>
    <row r="6" spans="1:1" x14ac:dyDescent="0.3">
      <c r="A6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Compiled Angling Sales Report</vt:lpstr>
      <vt:lpstr>Angling Licence Sales Revenue</vt:lpstr>
      <vt:lpstr>Graphs</vt:lpstr>
      <vt:lpstr>Data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Fanucchi, Jessie WLRS:EX</cp:lastModifiedBy>
  <dcterms:created xsi:type="dcterms:W3CDTF">2019-07-16T18:33:19Z</dcterms:created>
  <dcterms:modified xsi:type="dcterms:W3CDTF">2025-06-04T21:12:22Z</dcterms:modified>
</cp:coreProperties>
</file>